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9170" windowHeight="10380" tabRatio="599" firstSheet="2" activeTab="3"/>
  </bookViews>
  <sheets>
    <sheet name="Notes" sheetId="1" state="hidden" r:id="rId1"/>
    <sheet name="BaseEstimates" sheetId="2" state="hidden" r:id="rId2"/>
    <sheet name="1)+36.0% Level Worksheet " sheetId="17" r:id="rId3"/>
    <sheet name="Hot Topics" sheetId="26" r:id="rId4"/>
    <sheet name="2) Worksheet Guidance" sheetId="23" r:id="rId5"/>
    <sheet name="3)Budget Line Descriptions" sheetId="22" r:id="rId6"/>
    <sheet name="4)EXAMPLE" sheetId="25" r:id="rId7"/>
    <sheet name="+XX.0% Level rev 4.12.17 " sheetId="20" state="hidden" r:id="rId8"/>
    <sheet name="Sheet1" sheetId="19" state="hidden" r:id="rId9"/>
    <sheet name="+XX.0% Level rev 4.4.2017" sheetId="15" state="hidden" r:id="rId10"/>
    <sheet name="+33.0% Level rev 3.8.2017" sheetId="14" state="hidden" r:id="rId11"/>
    <sheet name="+33.0% Level" sheetId="13" state="hidden" r:id="rId12"/>
    <sheet name="BaseEstimate" sheetId="5" state="hidden" r:id="rId13"/>
  </sheets>
  <externalReferences>
    <externalReference r:id="rId14"/>
    <externalReference r:id="rId15"/>
  </externalReferences>
  <definedNames>
    <definedName name="_xlnm.Print_Area" localSheetId="11">'+33.0% Level'!$A$1:$AD$55</definedName>
    <definedName name="_xlnm.Print_Area" localSheetId="10">'+33.0% Level rev 3.8.2017'!$A$1:$AQ$55</definedName>
    <definedName name="_xlnm.Print_Area" localSheetId="7">'+XX.0% Level rev 4.12.17 '!$A$1:$AR$56</definedName>
    <definedName name="_xlnm.Print_Area" localSheetId="9">'+XX.0% Level rev 4.4.2017'!$A$1:$AR$56</definedName>
    <definedName name="_xlnm.Print_Area" localSheetId="2">'1)+36.0% Level Worksheet '!$A$1:$AI$52</definedName>
    <definedName name="_xlnm.Print_Area" localSheetId="6">'4)EXAMPLE'!$A$1:$AF$52</definedName>
    <definedName name="_xlnm.Print_Area" localSheetId="12">BaseEstimate!$A$1:$K$46</definedName>
    <definedName name="_xlnm.Print_Titles" localSheetId="2">'1)+36.0% Level Worksheet '!$A:$A</definedName>
    <definedName name="Z_A9887A3C_DBFC_4155_B59B_2AC88E02797A_.wvu.Cols" localSheetId="1" hidden="1">BaseEstimates!$F:$F</definedName>
    <definedName name="Z_A9887A3C_DBFC_4155_B59B_2AC88E02797A_.wvu.PrintArea" localSheetId="11" hidden="1">'+33.0% Level'!$A$1:$AD$55</definedName>
    <definedName name="Z_A9887A3C_DBFC_4155_B59B_2AC88E02797A_.wvu.PrintArea" localSheetId="10" hidden="1">'+33.0% Level rev 3.8.2017'!$A$1:$AI$55</definedName>
    <definedName name="Z_A9887A3C_DBFC_4155_B59B_2AC88E02797A_.wvu.PrintArea" localSheetId="7" hidden="1">'+XX.0% Level rev 4.12.17 '!$A$1:$AJ$56</definedName>
    <definedName name="Z_A9887A3C_DBFC_4155_B59B_2AC88E02797A_.wvu.PrintArea" localSheetId="9" hidden="1">'+XX.0% Level rev 4.4.2017'!$A$1:$AJ$56</definedName>
    <definedName name="Z_A9887A3C_DBFC_4155_B59B_2AC88E02797A_.wvu.PrintArea" localSheetId="2" hidden="1">'1)+36.0% Level Worksheet '!$A$1:$AG$52</definedName>
    <definedName name="Z_A9887A3C_DBFC_4155_B59B_2AC88E02797A_.wvu.PrintArea" localSheetId="6" hidden="1">'4)EXAMPLE'!$A$1:$AD$52</definedName>
    <definedName name="Z_A9887A3C_DBFC_4155_B59B_2AC88E02797A_.wvu.PrintArea" localSheetId="12" hidden="1">BaseEstimate!$A$1:$K$46</definedName>
    <definedName name="Z_A9887A3C_DBFC_4155_B59B_2AC88E02797A_.wvu.Rows" localSheetId="1" hidden="1">BaseEstimates!$6:$6,BaseEstimates!$40:$41</definedName>
  </definedNames>
  <calcPr calcId="145621"/>
  <customWorkbookViews>
    <customWorkbookView name="Mitchum, Stanley (IHS/HQ) - Personal View" guid="{A9887A3C-DBFC-4155-B59B-2AC88E02797A}" mergeInterval="0" personalView="1" windowWidth="1600" windowHeight="860" tabRatio="599" activeSheetId="3" showComments="commIndAndComment"/>
  </customWorkbookViews>
</workbook>
</file>

<file path=xl/calcChain.xml><?xml version="1.0" encoding="utf-8"?>
<calcChain xmlns="http://schemas.openxmlformats.org/spreadsheetml/2006/main">
  <c r="AA39" i="17" l="1"/>
  <c r="Y39" i="17"/>
  <c r="AA30" i="17"/>
  <c r="Y30" i="17"/>
  <c r="AA24" i="17"/>
  <c r="Z24" i="17"/>
  <c r="Y24" i="17"/>
  <c r="X24" i="17"/>
  <c r="W24" i="17"/>
  <c r="AA19" i="17"/>
  <c r="Z19" i="17"/>
  <c r="Y19" i="17"/>
  <c r="Y31" i="17" s="1"/>
  <c r="Y40" i="17" s="1"/>
  <c r="X19" i="17"/>
  <c r="W19" i="17"/>
  <c r="Z39" i="17"/>
  <c r="Z30" i="17"/>
  <c r="X30" i="17"/>
  <c r="W30" i="17"/>
  <c r="R39" i="17"/>
  <c r="Q39" i="17"/>
  <c r="Q19" i="17"/>
  <c r="R30" i="17"/>
  <c r="Q30" i="17"/>
  <c r="X39" i="17"/>
  <c r="W39" i="17"/>
  <c r="P14" i="17"/>
  <c r="V39" i="17"/>
  <c r="V19" i="17"/>
  <c r="U19" i="17"/>
  <c r="V30" i="17"/>
  <c r="V24" i="17"/>
  <c r="U24" i="17"/>
  <c r="R19" i="17"/>
  <c r="Q31" i="17" l="1"/>
  <c r="Q40" i="17" s="1"/>
  <c r="AA31" i="17"/>
  <c r="AA40" i="17" s="1"/>
  <c r="Z31" i="17"/>
  <c r="Z40" i="17" s="1"/>
  <c r="X31" i="17"/>
  <c r="X40" i="17" s="1"/>
  <c r="W31" i="17"/>
  <c r="W40" i="17" s="1"/>
  <c r="R31" i="17"/>
  <c r="R40" i="17" s="1"/>
  <c r="V31" i="17"/>
  <c r="V40" i="17" s="1"/>
  <c r="Y44" i="25"/>
  <c r="X44" i="25"/>
  <c r="W44" i="25"/>
  <c r="V44" i="25"/>
  <c r="U44" i="25"/>
  <c r="T44" i="25"/>
  <c r="S44" i="25"/>
  <c r="R44" i="25"/>
  <c r="Q44" i="25"/>
  <c r="P44" i="25"/>
  <c r="M44" i="25"/>
  <c r="L44" i="25"/>
  <c r="I44" i="25"/>
  <c r="H44" i="25"/>
  <c r="G44" i="25"/>
  <c r="F44" i="25"/>
  <c r="E44" i="25"/>
  <c r="D44" i="25"/>
  <c r="C44" i="25"/>
  <c r="B44" i="25"/>
  <c r="AR43" i="25"/>
  <c r="AN43" i="25"/>
  <c r="Z43" i="25"/>
  <c r="AA43" i="25" s="1"/>
  <c r="J43" i="25"/>
  <c r="K43" i="25"/>
  <c r="Y39" i="25"/>
  <c r="X39" i="25"/>
  <c r="W39" i="25"/>
  <c r="V39" i="25"/>
  <c r="U39" i="25"/>
  <c r="T39" i="25"/>
  <c r="S39" i="25"/>
  <c r="R39" i="25"/>
  <c r="Q39" i="25"/>
  <c r="P39" i="25"/>
  <c r="M39" i="25"/>
  <c r="L39" i="25"/>
  <c r="K39" i="25"/>
  <c r="I39" i="25"/>
  <c r="H39" i="25"/>
  <c r="G39" i="25"/>
  <c r="F39" i="25"/>
  <c r="D39" i="25"/>
  <c r="C39" i="25"/>
  <c r="B39" i="25"/>
  <c r="Z38" i="25"/>
  <c r="AA38" i="25" s="1"/>
  <c r="AE38" i="25" s="1"/>
  <c r="AF38" i="25" s="1"/>
  <c r="N38" i="25"/>
  <c r="J38" i="25"/>
  <c r="O38" i="25" s="1"/>
  <c r="AA37" i="25"/>
  <c r="Z37" i="25"/>
  <c r="N37" i="25"/>
  <c r="J37" i="25"/>
  <c r="O37" i="25" s="1"/>
  <c r="E37" i="25"/>
  <c r="E39" i="25" s="1"/>
  <c r="AA36" i="25"/>
  <c r="Z36" i="25"/>
  <c r="O36" i="25"/>
  <c r="N36" i="25"/>
  <c r="J36" i="25"/>
  <c r="Z35" i="25"/>
  <c r="N35" i="25"/>
  <c r="J35" i="25"/>
  <c r="Z34" i="25"/>
  <c r="AA34" i="25" s="1"/>
  <c r="N34" i="25"/>
  <c r="J34" i="25"/>
  <c r="AR30" i="25"/>
  <c r="Y30" i="25"/>
  <c r="Y31" i="25"/>
  <c r="Y40" i="25" s="1"/>
  <c r="X30" i="25"/>
  <c r="X31" i="25" s="1"/>
  <c r="X40" i="25" s="1"/>
  <c r="W30" i="25"/>
  <c r="W31" i="25" s="1"/>
  <c r="W40" i="25" s="1"/>
  <c r="V30" i="25"/>
  <c r="V31" i="25" s="1"/>
  <c r="V40" i="25" s="1"/>
  <c r="U30" i="25"/>
  <c r="T30" i="25"/>
  <c r="S30" i="25"/>
  <c r="S31" i="25" s="1"/>
  <c r="S40" i="25" s="1"/>
  <c r="R30" i="25"/>
  <c r="Q30" i="25"/>
  <c r="P30" i="25"/>
  <c r="M30" i="25"/>
  <c r="L30" i="25"/>
  <c r="K30" i="25"/>
  <c r="I30" i="25"/>
  <c r="H30" i="25"/>
  <c r="G30" i="25"/>
  <c r="F30" i="25"/>
  <c r="D30" i="25"/>
  <c r="C30" i="25"/>
  <c r="B30" i="25"/>
  <c r="AN29" i="25"/>
  <c r="Z29" i="25"/>
  <c r="AA29" i="25" s="1"/>
  <c r="N29" i="25"/>
  <c r="E29" i="25"/>
  <c r="J29" i="25" s="1"/>
  <c r="O29" i="25" s="1"/>
  <c r="AA28" i="25"/>
  <c r="Z28" i="25"/>
  <c r="N28" i="25"/>
  <c r="E28" i="25"/>
  <c r="AN27" i="25"/>
  <c r="AN30" i="25" s="1"/>
  <c r="Z27" i="25"/>
  <c r="AA27" i="25" s="1"/>
  <c r="AE27" i="25" s="1"/>
  <c r="AF27" i="25" s="1"/>
  <c r="N27" i="25"/>
  <c r="J27" i="25"/>
  <c r="AN26" i="25"/>
  <c r="Z26" i="25"/>
  <c r="AA26" i="25" s="1"/>
  <c r="AC26" i="25" s="1"/>
  <c r="AD26" i="25" s="1"/>
  <c r="N26" i="25"/>
  <c r="E26" i="25"/>
  <c r="J26" i="25" s="1"/>
  <c r="O26" i="25" s="1"/>
  <c r="Z25" i="25"/>
  <c r="N25" i="25"/>
  <c r="E25" i="25"/>
  <c r="AR24" i="25"/>
  <c r="U24" i="25"/>
  <c r="T24" i="25"/>
  <c r="S24" i="25"/>
  <c r="R24" i="25"/>
  <c r="Q24" i="25"/>
  <c r="P24" i="25"/>
  <c r="M24" i="25"/>
  <c r="L24" i="25"/>
  <c r="K24" i="25"/>
  <c r="I24" i="25"/>
  <c r="H24" i="25"/>
  <c r="G24" i="25"/>
  <c r="F24" i="25"/>
  <c r="F31" i="25"/>
  <c r="F40" i="25" s="1"/>
  <c r="D24" i="25"/>
  <c r="C24" i="25"/>
  <c r="B24" i="25"/>
  <c r="Z23" i="25"/>
  <c r="AA23" i="25" s="1"/>
  <c r="AC23" i="25" s="1"/>
  <c r="AD23" i="25" s="1"/>
  <c r="N23" i="25"/>
  <c r="J23" i="25"/>
  <c r="O23" i="25" s="1"/>
  <c r="AA22" i="25"/>
  <c r="Z22" i="25"/>
  <c r="N22" i="25"/>
  <c r="J22" i="25"/>
  <c r="O22" i="25" s="1"/>
  <c r="E22" i="25"/>
  <c r="AN21" i="25"/>
  <c r="Z21" i="25"/>
  <c r="N21" i="25"/>
  <c r="E21" i="25"/>
  <c r="J21" i="25" s="1"/>
  <c r="O21" i="25"/>
  <c r="AN20" i="25"/>
  <c r="AN24" i="25" s="1"/>
  <c r="Z20" i="25"/>
  <c r="AA20" i="25" s="1"/>
  <c r="AE20" i="25" s="1"/>
  <c r="N20" i="25"/>
  <c r="N24" i="25" s="1"/>
  <c r="E20" i="25"/>
  <c r="J20" i="25" s="1"/>
  <c r="AR19" i="25"/>
  <c r="U19" i="25"/>
  <c r="U31" i="25"/>
  <c r="U40" i="25" s="1"/>
  <c r="T19" i="25"/>
  <c r="T31" i="25" s="1"/>
  <c r="T40" i="25" s="1"/>
  <c r="S19" i="25"/>
  <c r="R19" i="25"/>
  <c r="R31" i="25" s="1"/>
  <c r="R40" i="25" s="1"/>
  <c r="Q19" i="25"/>
  <c r="P19" i="25"/>
  <c r="M19" i="25"/>
  <c r="L19" i="25"/>
  <c r="L31" i="25" s="1"/>
  <c r="K19" i="25"/>
  <c r="K31" i="25" s="1"/>
  <c r="I19" i="25"/>
  <c r="I31" i="25"/>
  <c r="I40" i="25" s="1"/>
  <c r="H19" i="25"/>
  <c r="H31" i="25" s="1"/>
  <c r="H40" i="25" s="1"/>
  <c r="G19" i="25"/>
  <c r="G31" i="25" s="1"/>
  <c r="G40" i="25" s="1"/>
  <c r="F19" i="25"/>
  <c r="D19" i="25"/>
  <c r="C19" i="25"/>
  <c r="B19" i="25"/>
  <c r="Z18" i="25"/>
  <c r="AA18" i="25" s="1"/>
  <c r="N18" i="25"/>
  <c r="J18" i="25"/>
  <c r="AN17" i="25"/>
  <c r="AA17" i="25"/>
  <c r="AE17" i="25" s="1"/>
  <c r="AF17" i="25" s="1"/>
  <c r="Z17" i="25"/>
  <c r="N17" i="25"/>
  <c r="J17" i="25"/>
  <c r="O17" i="25" s="1"/>
  <c r="E17" i="25"/>
  <c r="AN16" i="25"/>
  <c r="Z16" i="25"/>
  <c r="AA16" i="25"/>
  <c r="N16" i="25"/>
  <c r="E16" i="25"/>
  <c r="J16" i="25" s="1"/>
  <c r="AN15" i="25"/>
  <c r="Z15" i="25"/>
  <c r="AA15" i="25" s="1"/>
  <c r="AC15" i="25" s="1"/>
  <c r="N15" i="25"/>
  <c r="E15" i="25"/>
  <c r="J15" i="25" s="1"/>
  <c r="AN14" i="25"/>
  <c r="Z14" i="25"/>
  <c r="AA14" i="25" s="1"/>
  <c r="AC14" i="25" s="1"/>
  <c r="AD14" i="25" s="1"/>
  <c r="N14" i="25"/>
  <c r="E14" i="25"/>
  <c r="Q31" i="25"/>
  <c r="Q40" i="25" s="1"/>
  <c r="P31" i="25"/>
  <c r="P40" i="25" s="1"/>
  <c r="Z39" i="25"/>
  <c r="AA35" i="25"/>
  <c r="AE28" i="25"/>
  <c r="AF28" i="25" s="1"/>
  <c r="AC28" i="25"/>
  <c r="AD28" i="25" s="1"/>
  <c r="AC17" i="25"/>
  <c r="AD17" i="25" s="1"/>
  <c r="J25" i="25"/>
  <c r="E24" i="25"/>
  <c r="B31" i="25"/>
  <c r="AC36" i="25"/>
  <c r="AD36" i="25"/>
  <c r="AE36" i="25"/>
  <c r="AF36" i="25" s="1"/>
  <c r="J44" i="25"/>
  <c r="Z44" i="25"/>
  <c r="O25" i="25"/>
  <c r="B44" i="17"/>
  <c r="C44" i="17"/>
  <c r="D44" i="17"/>
  <c r="E44" i="17"/>
  <c r="F44" i="17"/>
  <c r="G44" i="17"/>
  <c r="H44" i="17"/>
  <c r="I44" i="17"/>
  <c r="L44" i="17"/>
  <c r="M44" i="17"/>
  <c r="P44" i="17"/>
  <c r="S44" i="17"/>
  <c r="T44" i="17"/>
  <c r="U44" i="17"/>
  <c r="AB44" i="17"/>
  <c r="B39" i="17"/>
  <c r="AC35" i="17"/>
  <c r="AD35" i="17" s="1"/>
  <c r="AF35" i="17" s="1"/>
  <c r="AG35" i="17" s="1"/>
  <c r="AC36" i="17"/>
  <c r="AD36" i="17" s="1"/>
  <c r="AC37" i="17"/>
  <c r="AD37" i="17" s="1"/>
  <c r="AC38" i="17"/>
  <c r="AD38" i="17" s="1"/>
  <c r="AH38" i="17" s="1"/>
  <c r="AI38" i="17" s="1"/>
  <c r="AC34" i="17"/>
  <c r="AD34" i="17" s="1"/>
  <c r="AF34" i="17" s="1"/>
  <c r="AG34" i="17" s="1"/>
  <c r="AC43" i="17"/>
  <c r="AD43" i="17" s="1"/>
  <c r="AC26" i="17"/>
  <c r="AD26" i="17" s="1"/>
  <c r="AF26" i="17" s="1"/>
  <c r="AG26" i="17" s="1"/>
  <c r="AC27" i="17"/>
  <c r="AD27" i="17" s="1"/>
  <c r="AF27" i="17" s="1"/>
  <c r="AG27" i="17" s="1"/>
  <c r="AC28" i="17"/>
  <c r="AD28" i="17" s="1"/>
  <c r="AC29" i="17"/>
  <c r="AD29" i="17" s="1"/>
  <c r="AH29" i="17" s="1"/>
  <c r="AI29" i="17" s="1"/>
  <c r="AC25" i="17"/>
  <c r="AD25" i="17" s="1"/>
  <c r="AC21" i="17"/>
  <c r="AD21" i="17" s="1"/>
  <c r="AF21" i="17" s="1"/>
  <c r="AG21" i="17" s="1"/>
  <c r="AC22" i="17"/>
  <c r="AD22" i="17" s="1"/>
  <c r="AC23" i="17"/>
  <c r="AD23" i="17" s="1"/>
  <c r="AC20" i="17"/>
  <c r="AC15" i="17"/>
  <c r="AD15" i="17" s="1"/>
  <c r="AC16" i="17"/>
  <c r="AD16" i="17" s="1"/>
  <c r="AH16" i="17" s="1"/>
  <c r="AI16" i="17" s="1"/>
  <c r="AC17" i="17"/>
  <c r="AD17" i="17" s="1"/>
  <c r="AC18" i="17"/>
  <c r="AD18" i="17" s="1"/>
  <c r="AC14" i="17"/>
  <c r="AD14" i="17" s="1"/>
  <c r="AH14" i="17" s="1"/>
  <c r="AI14" i="17" s="1"/>
  <c r="U39" i="17"/>
  <c r="AB39" i="17"/>
  <c r="U30" i="17"/>
  <c r="U31" i="17" s="1"/>
  <c r="AB30" i="17"/>
  <c r="AB31" i="17" s="1"/>
  <c r="BE44" i="20"/>
  <c r="BA44" i="20"/>
  <c r="AG44" i="20"/>
  <c r="AF44" i="20"/>
  <c r="AE44" i="20"/>
  <c r="AD44" i="20"/>
  <c r="AC44" i="20"/>
  <c r="U44" i="20"/>
  <c r="T44" i="20"/>
  <c r="S44" i="20"/>
  <c r="R44" i="20"/>
  <c r="Q44" i="20"/>
  <c r="P44" i="20"/>
  <c r="M44" i="20"/>
  <c r="L44" i="20"/>
  <c r="K44" i="20"/>
  <c r="I44" i="20"/>
  <c r="H44" i="20"/>
  <c r="G44" i="20"/>
  <c r="F44" i="20"/>
  <c r="D44" i="20"/>
  <c r="C44" i="20"/>
  <c r="B44" i="20"/>
  <c r="AH43" i="20"/>
  <c r="V43" i="20"/>
  <c r="N43" i="20"/>
  <c r="J43" i="20"/>
  <c r="O43" i="20" s="1"/>
  <c r="W43" i="20" s="1"/>
  <c r="AH42" i="20"/>
  <c r="V42" i="20"/>
  <c r="N42" i="20"/>
  <c r="E42" i="20"/>
  <c r="AH41" i="20"/>
  <c r="V41" i="20"/>
  <c r="N41" i="20"/>
  <c r="J41" i="20"/>
  <c r="AH40" i="20"/>
  <c r="V40" i="20"/>
  <c r="N40" i="20"/>
  <c r="O40" i="20" s="1"/>
  <c r="W40" i="20" s="1"/>
  <c r="Y40" i="20" s="1"/>
  <c r="Z40" i="20" s="1"/>
  <c r="J40" i="20"/>
  <c r="AL39" i="20"/>
  <c r="AH39" i="20"/>
  <c r="V39" i="20"/>
  <c r="V44" i="20" s="1"/>
  <c r="O39" i="20"/>
  <c r="N39" i="20"/>
  <c r="J39" i="20"/>
  <c r="AG36" i="20"/>
  <c r="AG45" i="20" s="1"/>
  <c r="AF36" i="20"/>
  <c r="AE36" i="20"/>
  <c r="AD36" i="20"/>
  <c r="AC36" i="20"/>
  <c r="U36" i="20"/>
  <c r="T36" i="20"/>
  <c r="S36" i="20"/>
  <c r="R36" i="20"/>
  <c r="Q36" i="20"/>
  <c r="P36" i="20"/>
  <c r="M36" i="20"/>
  <c r="L36" i="20"/>
  <c r="L45" i="20" s="1"/>
  <c r="I36" i="20"/>
  <c r="H36" i="20"/>
  <c r="G36" i="20"/>
  <c r="F36" i="20"/>
  <c r="F45" i="20" s="1"/>
  <c r="E36" i="20"/>
  <c r="D36" i="20"/>
  <c r="C36" i="20"/>
  <c r="B36" i="20"/>
  <c r="AL35" i="20"/>
  <c r="AH35" i="20"/>
  <c r="Z35" i="20"/>
  <c r="V35" i="20"/>
  <c r="N35" i="20"/>
  <c r="O35" i="20" s="1"/>
  <c r="J35" i="20"/>
  <c r="AH34" i="20"/>
  <c r="AH36" i="20"/>
  <c r="V34" i="20"/>
  <c r="J34" i="20"/>
  <c r="K34" i="20"/>
  <c r="K36" i="20" s="1"/>
  <c r="BE30" i="20"/>
  <c r="AG30" i="20"/>
  <c r="AF30" i="20"/>
  <c r="AE30" i="20"/>
  <c r="AD30" i="20"/>
  <c r="AD31" i="20" s="1"/>
  <c r="AD45" i="20" s="1"/>
  <c r="AC30" i="20"/>
  <c r="U30" i="20"/>
  <c r="T30" i="20"/>
  <c r="S30" i="20"/>
  <c r="R30" i="20"/>
  <c r="Q30" i="20"/>
  <c r="P30" i="20"/>
  <c r="M30" i="20"/>
  <c r="L30" i="20"/>
  <c r="K30" i="20"/>
  <c r="I30" i="20"/>
  <c r="H30" i="20"/>
  <c r="G30" i="20"/>
  <c r="F30" i="20"/>
  <c r="D30" i="20"/>
  <c r="C30" i="20"/>
  <c r="B30" i="20"/>
  <c r="BA29" i="20"/>
  <c r="AH29" i="20"/>
  <c r="V29" i="20"/>
  <c r="N29" i="20"/>
  <c r="E29" i="20"/>
  <c r="J29" i="20" s="1"/>
  <c r="AH28" i="20"/>
  <c r="V28" i="20"/>
  <c r="V30" i="20" s="1"/>
  <c r="N28" i="20"/>
  <c r="E28" i="20"/>
  <c r="J28" i="20" s="1"/>
  <c r="BA27" i="20"/>
  <c r="AH27" i="20"/>
  <c r="V27" i="20"/>
  <c r="N27" i="20"/>
  <c r="J27" i="20"/>
  <c r="BA26" i="20"/>
  <c r="AH26" i="20"/>
  <c r="V26" i="20"/>
  <c r="N26" i="20"/>
  <c r="E26" i="20"/>
  <c r="J26" i="20" s="1"/>
  <c r="AH25" i="20"/>
  <c r="V25" i="20"/>
  <c r="N25" i="20"/>
  <c r="E25" i="20"/>
  <c r="J25" i="20" s="1"/>
  <c r="J30" i="20" s="1"/>
  <c r="BE24" i="20"/>
  <c r="AG24" i="20"/>
  <c r="AF24" i="20"/>
  <c r="AE24" i="20"/>
  <c r="AD24" i="20"/>
  <c r="AC24" i="20"/>
  <c r="U24" i="20"/>
  <c r="T24" i="20"/>
  <c r="S24" i="20"/>
  <c r="R24" i="20"/>
  <c r="Q24" i="20"/>
  <c r="P24" i="20"/>
  <c r="M24" i="20"/>
  <c r="L24" i="20"/>
  <c r="K24" i="20"/>
  <c r="I24" i="20"/>
  <c r="H24" i="20"/>
  <c r="G24" i="20"/>
  <c r="F24" i="20"/>
  <c r="D24" i="20"/>
  <c r="C24" i="20"/>
  <c r="B24" i="20"/>
  <c r="AH23" i="20"/>
  <c r="V23" i="20"/>
  <c r="N23" i="20"/>
  <c r="J23" i="20"/>
  <c r="O23" i="20" s="1"/>
  <c r="W23" i="20" s="1"/>
  <c r="AH22" i="20"/>
  <c r="V22" i="20"/>
  <c r="N22" i="20"/>
  <c r="E22" i="20"/>
  <c r="J22" i="20" s="1"/>
  <c r="BA21" i="20"/>
  <c r="AH21" i="20"/>
  <c r="V21" i="20"/>
  <c r="N21" i="20"/>
  <c r="E21" i="20"/>
  <c r="J21" i="20" s="1"/>
  <c r="BA20" i="20"/>
  <c r="BA24" i="20" s="1"/>
  <c r="AH20" i="20"/>
  <c r="AH24" i="20" s="1"/>
  <c r="V20" i="20"/>
  <c r="N20" i="20"/>
  <c r="E20" i="20"/>
  <c r="BE19" i="20"/>
  <c r="AG19" i="20"/>
  <c r="AF19" i="20"/>
  <c r="AE19" i="20"/>
  <c r="AD19" i="20"/>
  <c r="AC19" i="20"/>
  <c r="U19" i="20"/>
  <c r="T19" i="20"/>
  <c r="S19" i="20"/>
  <c r="R19" i="20"/>
  <c r="Q19" i="20"/>
  <c r="P19" i="20"/>
  <c r="M19" i="20"/>
  <c r="L19" i="20"/>
  <c r="L31" i="20" s="1"/>
  <c r="K19" i="20"/>
  <c r="K31" i="20"/>
  <c r="I19" i="20"/>
  <c r="I31" i="20" s="1"/>
  <c r="I45" i="20" s="1"/>
  <c r="H19" i="20"/>
  <c r="G19" i="20"/>
  <c r="G31" i="20"/>
  <c r="G45" i="20" s="1"/>
  <c r="F19" i="20"/>
  <c r="F31" i="20" s="1"/>
  <c r="D19" i="20"/>
  <c r="D31" i="20" s="1"/>
  <c r="D45" i="20" s="1"/>
  <c r="C19" i="20"/>
  <c r="B19" i="20"/>
  <c r="B31" i="20" s="1"/>
  <c r="B45" i="20" s="1"/>
  <c r="AH18" i="20"/>
  <c r="V18" i="20"/>
  <c r="N18" i="20"/>
  <c r="J18" i="20"/>
  <c r="O18" i="20" s="1"/>
  <c r="BA17" i="20"/>
  <c r="AH17" i="20"/>
  <c r="V17" i="20"/>
  <c r="N17" i="20"/>
  <c r="E17" i="20"/>
  <c r="J17" i="20" s="1"/>
  <c r="BA16" i="20"/>
  <c r="AH16" i="20"/>
  <c r="V16" i="20"/>
  <c r="V19" i="20" s="1"/>
  <c r="N16" i="20"/>
  <c r="E16" i="20"/>
  <c r="J16" i="20" s="1"/>
  <c r="BA15" i="20"/>
  <c r="AH15" i="20"/>
  <c r="AH19" i="20" s="1"/>
  <c r="V15" i="20"/>
  <c r="N15" i="20"/>
  <c r="E15" i="20"/>
  <c r="J15" i="20" s="1"/>
  <c r="O15" i="20"/>
  <c r="W15" i="20" s="1"/>
  <c r="BA14" i="20"/>
  <c r="AH14" i="20"/>
  <c r="V14" i="20"/>
  <c r="N14" i="20"/>
  <c r="N19" i="20" s="1"/>
  <c r="N31" i="20" s="1"/>
  <c r="E14" i="20"/>
  <c r="J14" i="20" s="1"/>
  <c r="E37" i="17"/>
  <c r="E39" i="17" s="1"/>
  <c r="E29" i="17"/>
  <c r="J29" i="17" s="1"/>
  <c r="E28" i="17"/>
  <c r="J28" i="17" s="1"/>
  <c r="E26" i="17"/>
  <c r="J26" i="17" s="1"/>
  <c r="E25" i="17"/>
  <c r="E22" i="17"/>
  <c r="E21" i="17"/>
  <c r="J21" i="17" s="1"/>
  <c r="O21" i="17" s="1"/>
  <c r="E20" i="17"/>
  <c r="J20" i="17" s="1"/>
  <c r="E17" i="17"/>
  <c r="E16" i="17"/>
  <c r="J16" i="17" s="1"/>
  <c r="E15" i="17"/>
  <c r="J15" i="17" s="1"/>
  <c r="O15" i="17" s="1"/>
  <c r="E14" i="17"/>
  <c r="J14" i="17" s="1"/>
  <c r="J36" i="17"/>
  <c r="J27" i="17"/>
  <c r="AU43" i="17"/>
  <c r="AQ43" i="17"/>
  <c r="T39" i="17"/>
  <c r="S39" i="17"/>
  <c r="P39" i="17"/>
  <c r="M39" i="17"/>
  <c r="L39" i="17"/>
  <c r="K39" i="17"/>
  <c r="I39" i="17"/>
  <c r="H39" i="17"/>
  <c r="G39" i="17"/>
  <c r="F39" i="17"/>
  <c r="D39" i="17"/>
  <c r="C39" i="17"/>
  <c r="N38" i="17"/>
  <c r="J38" i="17"/>
  <c r="N37" i="17"/>
  <c r="N36" i="17"/>
  <c r="N35" i="17"/>
  <c r="J35" i="17"/>
  <c r="N34" i="17"/>
  <c r="J34" i="17"/>
  <c r="J43" i="17"/>
  <c r="AU30" i="17"/>
  <c r="T30" i="17"/>
  <c r="S30" i="17"/>
  <c r="P30" i="17"/>
  <c r="M30" i="17"/>
  <c r="L30" i="17"/>
  <c r="K30" i="17"/>
  <c r="K31" i="17" s="1"/>
  <c r="I30" i="17"/>
  <c r="H30" i="17"/>
  <c r="G30" i="17"/>
  <c r="F30" i="17"/>
  <c r="D30" i="17"/>
  <c r="C30" i="17"/>
  <c r="B30" i="17"/>
  <c r="AQ29" i="17"/>
  <c r="N29" i="17"/>
  <c r="O29" i="17" s="1"/>
  <c r="N28" i="17"/>
  <c r="AQ27" i="17"/>
  <c r="N27" i="17"/>
  <c r="AQ26" i="17"/>
  <c r="N26" i="17"/>
  <c r="N25" i="17"/>
  <c r="AU24" i="17"/>
  <c r="AU31" i="17" s="1"/>
  <c r="AU44" i="17" s="1"/>
  <c r="T24" i="17"/>
  <c r="S24" i="17"/>
  <c r="P24" i="17"/>
  <c r="M24" i="17"/>
  <c r="L24" i="17"/>
  <c r="K24" i="17"/>
  <c r="I24" i="17"/>
  <c r="H24" i="17"/>
  <c r="G24" i="17"/>
  <c r="F24" i="17"/>
  <c r="D24" i="17"/>
  <c r="C24" i="17"/>
  <c r="B24" i="17"/>
  <c r="N23" i="17"/>
  <c r="J23" i="17"/>
  <c r="N22" i="17"/>
  <c r="AQ21" i="17"/>
  <c r="N21" i="17"/>
  <c r="AQ20" i="17"/>
  <c r="N20" i="17"/>
  <c r="O20" i="17" s="1"/>
  <c r="AU19" i="17"/>
  <c r="T19" i="17"/>
  <c r="S19" i="17"/>
  <c r="P19" i="17"/>
  <c r="M19" i="17"/>
  <c r="L19" i="17"/>
  <c r="K19" i="17"/>
  <c r="I19" i="17"/>
  <c r="H19" i="17"/>
  <c r="G19" i="17"/>
  <c r="F19" i="17"/>
  <c r="D19" i="17"/>
  <c r="C19" i="17"/>
  <c r="B19" i="17"/>
  <c r="N18" i="17"/>
  <c r="J18" i="17"/>
  <c r="AQ17" i="17"/>
  <c r="N17" i="17"/>
  <c r="AQ16" i="17"/>
  <c r="N16" i="17"/>
  <c r="O16" i="17" s="1"/>
  <c r="AQ15" i="17"/>
  <c r="N15" i="17"/>
  <c r="AQ14" i="17"/>
  <c r="N14" i="17"/>
  <c r="B44" i="15"/>
  <c r="AL44" i="15" s="1"/>
  <c r="B36" i="15"/>
  <c r="B30" i="15"/>
  <c r="B24" i="15"/>
  <c r="B19" i="15"/>
  <c r="Z19" i="15" s="1"/>
  <c r="AF44" i="15"/>
  <c r="AF36" i="15"/>
  <c r="AF30" i="15"/>
  <c r="AF24" i="15"/>
  <c r="AF31" i="15" s="1"/>
  <c r="AF45" i="15" s="1"/>
  <c r="AF19" i="15"/>
  <c r="BE44" i="15"/>
  <c r="BA44" i="15"/>
  <c r="AG44" i="15"/>
  <c r="AE44" i="15"/>
  <c r="AD44" i="15"/>
  <c r="AC44" i="15"/>
  <c r="U44" i="15"/>
  <c r="T44" i="15"/>
  <c r="S44" i="15"/>
  <c r="R44" i="15"/>
  <c r="Q44" i="15"/>
  <c r="P44" i="15"/>
  <c r="M44" i="15"/>
  <c r="L44" i="15"/>
  <c r="K44" i="15"/>
  <c r="I44" i="15"/>
  <c r="H44" i="15"/>
  <c r="G44" i="15"/>
  <c r="F44" i="15"/>
  <c r="E44" i="15"/>
  <c r="D44" i="15"/>
  <c r="C44" i="15"/>
  <c r="AH43" i="15"/>
  <c r="V43" i="15"/>
  <c r="N43" i="15"/>
  <c r="J43" i="15"/>
  <c r="O43" i="15"/>
  <c r="W43" i="15" s="1"/>
  <c r="AH42" i="15"/>
  <c r="V42" i="15"/>
  <c r="N42" i="15"/>
  <c r="J42" i="15"/>
  <c r="AH41" i="15"/>
  <c r="AL41" i="15"/>
  <c r="V41" i="15"/>
  <c r="V44" i="15" s="1"/>
  <c r="N41" i="15"/>
  <c r="J41" i="15"/>
  <c r="O41" i="15" s="1"/>
  <c r="W41" i="15" s="1"/>
  <c r="AH40" i="15"/>
  <c r="V40" i="15"/>
  <c r="N40" i="15"/>
  <c r="J40" i="15"/>
  <c r="AL39" i="15"/>
  <c r="AH39" i="15"/>
  <c r="V39" i="15"/>
  <c r="N39" i="15"/>
  <c r="J39" i="15"/>
  <c r="J44" i="15" s="1"/>
  <c r="AG36" i="15"/>
  <c r="AE36" i="15"/>
  <c r="AD36" i="15"/>
  <c r="AD45" i="15" s="1"/>
  <c r="AC36" i="15"/>
  <c r="U36" i="15"/>
  <c r="T36" i="15"/>
  <c r="S36" i="15"/>
  <c r="R36" i="15"/>
  <c r="Q36" i="15"/>
  <c r="P36" i="15"/>
  <c r="M36" i="15"/>
  <c r="L36" i="15"/>
  <c r="I36" i="15"/>
  <c r="H36" i="15"/>
  <c r="G36" i="15"/>
  <c r="F36" i="15"/>
  <c r="E36" i="15"/>
  <c r="D36" i="15"/>
  <c r="C36" i="15"/>
  <c r="AL35" i="15"/>
  <c r="AH35" i="15"/>
  <c r="Z35" i="15"/>
  <c r="V35" i="15"/>
  <c r="N35" i="15"/>
  <c r="J35" i="15"/>
  <c r="AH34" i="15"/>
  <c r="AH36" i="15" s="1"/>
  <c r="V34" i="15"/>
  <c r="V36" i="15" s="1"/>
  <c r="J34" i="15"/>
  <c r="K34" i="15"/>
  <c r="BE30" i="15"/>
  <c r="AG30" i="15"/>
  <c r="AE30" i="15"/>
  <c r="AD30" i="15"/>
  <c r="AC30" i="15"/>
  <c r="AC31" i="15" s="1"/>
  <c r="AC45" i="15" s="1"/>
  <c r="U30" i="15"/>
  <c r="T30" i="15"/>
  <c r="S30" i="15"/>
  <c r="R30" i="15"/>
  <c r="Q30" i="15"/>
  <c r="P30" i="15"/>
  <c r="M30" i="15"/>
  <c r="L30" i="15"/>
  <c r="K30" i="15"/>
  <c r="I30" i="15"/>
  <c r="H30" i="15"/>
  <c r="G30" i="15"/>
  <c r="F30" i="15"/>
  <c r="E30" i="15"/>
  <c r="D30" i="15"/>
  <c r="C30" i="15"/>
  <c r="BA29" i="15"/>
  <c r="AH29" i="15"/>
  <c r="V29" i="15"/>
  <c r="Z29" i="15"/>
  <c r="N29" i="15"/>
  <c r="J29" i="15"/>
  <c r="O29" i="15" s="1"/>
  <c r="W29" i="15" s="1"/>
  <c r="AH28" i="15"/>
  <c r="V28" i="15"/>
  <c r="N28" i="15"/>
  <c r="J28" i="15"/>
  <c r="BA27" i="15"/>
  <c r="BA30" i="15" s="1"/>
  <c r="AH27" i="15"/>
  <c r="V27" i="15"/>
  <c r="N27" i="15"/>
  <c r="J27" i="15"/>
  <c r="BA26" i="15"/>
  <c r="AH26" i="15"/>
  <c r="V26" i="15"/>
  <c r="W26" i="15"/>
  <c r="N26" i="15"/>
  <c r="J26" i="15"/>
  <c r="O26" i="15" s="1"/>
  <c r="AH25" i="15"/>
  <c r="V25" i="15"/>
  <c r="V30" i="15" s="1"/>
  <c r="N25" i="15"/>
  <c r="J25" i="15"/>
  <c r="O25" i="15" s="1"/>
  <c r="BE24" i="15"/>
  <c r="AG24" i="15"/>
  <c r="AE24" i="15"/>
  <c r="AD24" i="15"/>
  <c r="AD31" i="15"/>
  <c r="AC24" i="15"/>
  <c r="U24" i="15"/>
  <c r="T24" i="15"/>
  <c r="S24" i="15"/>
  <c r="S31" i="15" s="1"/>
  <c r="R24" i="15"/>
  <c r="Q24" i="15"/>
  <c r="P24" i="15"/>
  <c r="P31" i="15" s="1"/>
  <c r="P45" i="15" s="1"/>
  <c r="M24" i="15"/>
  <c r="L24" i="15"/>
  <c r="K24" i="15"/>
  <c r="I24" i="15"/>
  <c r="I31" i="15" s="1"/>
  <c r="I45" i="15" s="1"/>
  <c r="H24" i="15"/>
  <c r="G24" i="15"/>
  <c r="F24" i="15"/>
  <c r="E24" i="15"/>
  <c r="D24" i="15"/>
  <c r="C24" i="15"/>
  <c r="AH23" i="15"/>
  <c r="V23" i="15"/>
  <c r="N23" i="15"/>
  <c r="J23" i="15"/>
  <c r="O23" i="15" s="1"/>
  <c r="AH22" i="15"/>
  <c r="V22" i="15"/>
  <c r="N22" i="15"/>
  <c r="J22" i="15"/>
  <c r="BA21" i="15"/>
  <c r="AH21" i="15"/>
  <c r="V21" i="15"/>
  <c r="N21" i="15"/>
  <c r="J21" i="15"/>
  <c r="BA20" i="15"/>
  <c r="BA24" i="15" s="1"/>
  <c r="AH20" i="15"/>
  <c r="V20" i="15"/>
  <c r="N20" i="15"/>
  <c r="J20" i="15"/>
  <c r="BE19" i="15"/>
  <c r="AG19" i="15"/>
  <c r="AE19" i="15"/>
  <c r="AE31" i="15" s="1"/>
  <c r="AE45" i="15" s="1"/>
  <c r="AD19" i="15"/>
  <c r="AC19" i="15"/>
  <c r="U19" i="15"/>
  <c r="T19" i="15"/>
  <c r="S19" i="15"/>
  <c r="R19" i="15"/>
  <c r="Q19" i="15"/>
  <c r="Q31" i="15" s="1"/>
  <c r="Q45" i="15" s="1"/>
  <c r="P19" i="15"/>
  <c r="M19" i="15"/>
  <c r="M31" i="15" s="1"/>
  <c r="M45" i="15" s="1"/>
  <c r="L19" i="15"/>
  <c r="L31" i="15" s="1"/>
  <c r="L45" i="15" s="1"/>
  <c r="K19" i="15"/>
  <c r="K31" i="15"/>
  <c r="I19" i="15"/>
  <c r="H19" i="15"/>
  <c r="H31" i="15" s="1"/>
  <c r="G19" i="15"/>
  <c r="F19" i="15"/>
  <c r="F31" i="15"/>
  <c r="F45" i="15" s="1"/>
  <c r="E19" i="15"/>
  <c r="D19" i="15"/>
  <c r="C19" i="15"/>
  <c r="AH18" i="15"/>
  <c r="V18" i="15"/>
  <c r="N18" i="15"/>
  <c r="J18" i="15"/>
  <c r="BA17" i="15"/>
  <c r="AH17" i="15"/>
  <c r="AL17" i="15"/>
  <c r="V17" i="15"/>
  <c r="N17" i="15"/>
  <c r="O17" i="15" s="1"/>
  <c r="W17" i="15" s="1"/>
  <c r="AI17" i="15" s="1"/>
  <c r="J17" i="15"/>
  <c r="BA16" i="15"/>
  <c r="AH16" i="15"/>
  <c r="V16" i="15"/>
  <c r="N16" i="15"/>
  <c r="J16" i="15"/>
  <c r="O16" i="15" s="1"/>
  <c r="BA15" i="15"/>
  <c r="AH15" i="15"/>
  <c r="V15" i="15"/>
  <c r="N15" i="15"/>
  <c r="J15" i="15"/>
  <c r="O15" i="15" s="1"/>
  <c r="W15" i="15" s="1"/>
  <c r="BA14" i="15"/>
  <c r="AH14" i="15"/>
  <c r="V14" i="15"/>
  <c r="N14" i="15"/>
  <c r="J14" i="15"/>
  <c r="AG39" i="14"/>
  <c r="Z35" i="14"/>
  <c r="AK39" i="14"/>
  <c r="AK35" i="14"/>
  <c r="AG26" i="14"/>
  <c r="AG27" i="14"/>
  <c r="AG28" i="14"/>
  <c r="AG29" i="14"/>
  <c r="AD44" i="14"/>
  <c r="AE44" i="14"/>
  <c r="AF44" i="14"/>
  <c r="AF45" i="14" s="1"/>
  <c r="AC44" i="14"/>
  <c r="AD30" i="14"/>
  <c r="AE30" i="14"/>
  <c r="AF30" i="14"/>
  <c r="AC30" i="14"/>
  <c r="AD24" i="14"/>
  <c r="AE24" i="14"/>
  <c r="AF24" i="14"/>
  <c r="AC24" i="14"/>
  <c r="AD19" i="14"/>
  <c r="AE19" i="14"/>
  <c r="AF19" i="14"/>
  <c r="AC19" i="14"/>
  <c r="AD31" i="14"/>
  <c r="AE31" i="14"/>
  <c r="AF31" i="14"/>
  <c r="AC31" i="14"/>
  <c r="AG40" i="14"/>
  <c r="AG41" i="14"/>
  <c r="AG42" i="14"/>
  <c r="AG44" i="14" s="1"/>
  <c r="AG43" i="14"/>
  <c r="AG35" i="14"/>
  <c r="AG36" i="14" s="1"/>
  <c r="AG34" i="14"/>
  <c r="AD36" i="14"/>
  <c r="AD45" i="14" s="1"/>
  <c r="AE36" i="14"/>
  <c r="AF36" i="14"/>
  <c r="AC36" i="14"/>
  <c r="AG25" i="14"/>
  <c r="AG30" i="14" s="1"/>
  <c r="AG31" i="14" s="1"/>
  <c r="AG21" i="14"/>
  <c r="AG22" i="14"/>
  <c r="AG23" i="14"/>
  <c r="AG20" i="14"/>
  <c r="AG24" i="14" s="1"/>
  <c r="AG14" i="14"/>
  <c r="AG15" i="14"/>
  <c r="AG16" i="14"/>
  <c r="AG17" i="14"/>
  <c r="AG18" i="14"/>
  <c r="BD44" i="14"/>
  <c r="AZ44" i="14"/>
  <c r="U44" i="14"/>
  <c r="T44" i="14"/>
  <c r="S44" i="14"/>
  <c r="R44" i="14"/>
  <c r="Q44" i="14"/>
  <c r="P44" i="14"/>
  <c r="M44" i="14"/>
  <c r="L44" i="14"/>
  <c r="K44" i="14"/>
  <c r="I44" i="14"/>
  <c r="H44" i="14"/>
  <c r="G44" i="14"/>
  <c r="F44" i="14"/>
  <c r="E44" i="14"/>
  <c r="D44" i="14"/>
  <c r="C44" i="14"/>
  <c r="V43" i="14"/>
  <c r="N43" i="14"/>
  <c r="J43" i="14"/>
  <c r="B43" i="14"/>
  <c r="V42" i="14"/>
  <c r="N42" i="14"/>
  <c r="J42" i="14"/>
  <c r="V41" i="14"/>
  <c r="N41" i="14"/>
  <c r="J41" i="14"/>
  <c r="V40" i="14"/>
  <c r="N40" i="14"/>
  <c r="J40" i="14"/>
  <c r="V39" i="14"/>
  <c r="N39" i="14"/>
  <c r="J39" i="14"/>
  <c r="U36" i="14"/>
  <c r="T36" i="14"/>
  <c r="S36" i="14"/>
  <c r="R36" i="14"/>
  <c r="Q36" i="14"/>
  <c r="P36" i="14"/>
  <c r="M36" i="14"/>
  <c r="L36" i="14"/>
  <c r="I36" i="14"/>
  <c r="H36" i="14"/>
  <c r="G36" i="14"/>
  <c r="F36" i="14"/>
  <c r="E36" i="14"/>
  <c r="D36" i="14"/>
  <c r="C36" i="14"/>
  <c r="B36" i="14"/>
  <c r="V35" i="14"/>
  <c r="V36" i="14" s="1"/>
  <c r="N35" i="14"/>
  <c r="O35" i="14" s="1"/>
  <c r="J35" i="14"/>
  <c r="V34" i="14"/>
  <c r="J34" i="14"/>
  <c r="BD30" i="14"/>
  <c r="U30" i="14"/>
  <c r="T30" i="14"/>
  <c r="S30" i="14"/>
  <c r="R30" i="14"/>
  <c r="Q30" i="14"/>
  <c r="P30" i="14"/>
  <c r="M30" i="14"/>
  <c r="L30" i="14"/>
  <c r="K30" i="14"/>
  <c r="I30" i="14"/>
  <c r="H30" i="14"/>
  <c r="G30" i="14"/>
  <c r="F30" i="14"/>
  <c r="E30" i="14"/>
  <c r="D30" i="14"/>
  <c r="C30" i="14"/>
  <c r="B30" i="14"/>
  <c r="AZ29" i="14"/>
  <c r="V29" i="14"/>
  <c r="N29" i="14"/>
  <c r="J29" i="14"/>
  <c r="V28" i="14"/>
  <c r="N28" i="14"/>
  <c r="O28" i="14" s="1"/>
  <c r="J28" i="14"/>
  <c r="AZ27" i="14"/>
  <c r="V27" i="14"/>
  <c r="W27" i="14" s="1"/>
  <c r="AH27" i="14" s="1"/>
  <c r="AJ27" i="14" s="1"/>
  <c r="AK27" i="14" s="1"/>
  <c r="N27" i="14"/>
  <c r="O27" i="14" s="1"/>
  <c r="J27" i="14"/>
  <c r="AZ26" i="14"/>
  <c r="V26" i="14"/>
  <c r="N26" i="14"/>
  <c r="O26" i="14" s="1"/>
  <c r="J26" i="14"/>
  <c r="V25" i="14"/>
  <c r="N25" i="14"/>
  <c r="N30" i="14" s="1"/>
  <c r="J25" i="14"/>
  <c r="BD24" i="14"/>
  <c r="U24" i="14"/>
  <c r="T24" i="14"/>
  <c r="S24" i="14"/>
  <c r="R24" i="14"/>
  <c r="Q24" i="14"/>
  <c r="P24" i="14"/>
  <c r="M24" i="14"/>
  <c r="L24" i="14"/>
  <c r="K24" i="14"/>
  <c r="I24" i="14"/>
  <c r="H24" i="14"/>
  <c r="G24" i="14"/>
  <c r="F24" i="14"/>
  <c r="E24" i="14"/>
  <c r="E31" i="14" s="1"/>
  <c r="E45" i="14" s="1"/>
  <c r="D24" i="14"/>
  <c r="C24" i="14"/>
  <c r="B24" i="14"/>
  <c r="V23" i="14"/>
  <c r="V24" i="14" s="1"/>
  <c r="N23" i="14"/>
  <c r="J23" i="14"/>
  <c r="V22" i="14"/>
  <c r="N22" i="14"/>
  <c r="O22" i="14" s="1"/>
  <c r="W22" i="14" s="1"/>
  <c r="Y22" i="14" s="1"/>
  <c r="Z22" i="14" s="1"/>
  <c r="J22" i="14"/>
  <c r="AZ21" i="14"/>
  <c r="V21" i="14"/>
  <c r="N21" i="14"/>
  <c r="J21" i="14"/>
  <c r="AZ20" i="14"/>
  <c r="V20" i="14"/>
  <c r="N20" i="14"/>
  <c r="J20" i="14"/>
  <c r="BD19" i="14"/>
  <c r="U19" i="14"/>
  <c r="U31" i="14" s="1"/>
  <c r="T19" i="14"/>
  <c r="T31" i="14" s="1"/>
  <c r="S19" i="14"/>
  <c r="R19" i="14"/>
  <c r="Q19" i="14"/>
  <c r="Q31" i="14" s="1"/>
  <c r="P19" i="14"/>
  <c r="P31" i="14" s="1"/>
  <c r="M19" i="14"/>
  <c r="M31" i="14" s="1"/>
  <c r="M45" i="14" s="1"/>
  <c r="L19" i="14"/>
  <c r="L31" i="14" s="1"/>
  <c r="L45" i="14" s="1"/>
  <c r="K19" i="14"/>
  <c r="K31" i="14" s="1"/>
  <c r="I19" i="14"/>
  <c r="H19" i="14"/>
  <c r="G19" i="14"/>
  <c r="F19" i="14"/>
  <c r="F31" i="14" s="1"/>
  <c r="E19" i="14"/>
  <c r="D19" i="14"/>
  <c r="C19" i="14"/>
  <c r="C31" i="14" s="1"/>
  <c r="C45" i="14" s="1"/>
  <c r="B19" i="14"/>
  <c r="V18" i="14"/>
  <c r="N18" i="14"/>
  <c r="J18" i="14"/>
  <c r="AZ17" i="14"/>
  <c r="V17" i="14"/>
  <c r="N17" i="14"/>
  <c r="J17" i="14"/>
  <c r="AZ16" i="14"/>
  <c r="V16" i="14"/>
  <c r="N16" i="14"/>
  <c r="J16" i="14"/>
  <c r="AZ15" i="14"/>
  <c r="V15" i="14"/>
  <c r="N15" i="14"/>
  <c r="J15" i="14"/>
  <c r="AZ14" i="14"/>
  <c r="AZ19" i="14" s="1"/>
  <c r="V14" i="14"/>
  <c r="V19" i="14" s="1"/>
  <c r="N14" i="14"/>
  <c r="J14" i="14"/>
  <c r="J19" i="14"/>
  <c r="C19" i="13"/>
  <c r="C24" i="13"/>
  <c r="C30" i="13"/>
  <c r="C36" i="13"/>
  <c r="C44" i="13"/>
  <c r="AD35" i="13"/>
  <c r="AY44" i="13"/>
  <c r="AU44" i="13"/>
  <c r="Y44" i="13"/>
  <c r="X44" i="13"/>
  <c r="W44" i="13"/>
  <c r="V44" i="13"/>
  <c r="U44" i="13"/>
  <c r="T44" i="13"/>
  <c r="S44" i="13"/>
  <c r="R44" i="13"/>
  <c r="Q44" i="13"/>
  <c r="P44" i="13"/>
  <c r="M44" i="13"/>
  <c r="L44" i="13"/>
  <c r="K44" i="13"/>
  <c r="I44" i="13"/>
  <c r="H44" i="13"/>
  <c r="G44" i="13"/>
  <c r="F44" i="13"/>
  <c r="E44" i="13"/>
  <c r="D44" i="13"/>
  <c r="Z43" i="13"/>
  <c r="N43" i="13"/>
  <c r="J43" i="13"/>
  <c r="B43" i="13"/>
  <c r="Z42" i="13"/>
  <c r="N42" i="13"/>
  <c r="O42" i="13" s="1"/>
  <c r="AA42" i="13" s="1"/>
  <c r="AC42" i="13" s="1"/>
  <c r="J42" i="13"/>
  <c r="Z41" i="13"/>
  <c r="N41" i="13"/>
  <c r="J41" i="13"/>
  <c r="Z40" i="13"/>
  <c r="N40" i="13"/>
  <c r="J40" i="13"/>
  <c r="Z39" i="13"/>
  <c r="N39" i="13"/>
  <c r="J39" i="13"/>
  <c r="O39" i="13" s="1"/>
  <c r="AA39" i="13" s="1"/>
  <c r="Y36" i="13"/>
  <c r="X36" i="13"/>
  <c r="W36" i="13"/>
  <c r="V36" i="13"/>
  <c r="U36" i="13"/>
  <c r="T36" i="13"/>
  <c r="S36" i="13"/>
  <c r="R36" i="13"/>
  <c r="Q36" i="13"/>
  <c r="P36" i="13"/>
  <c r="M36" i="13"/>
  <c r="L36" i="13"/>
  <c r="I36" i="13"/>
  <c r="H36" i="13"/>
  <c r="G36" i="13"/>
  <c r="F36" i="13"/>
  <c r="E36" i="13"/>
  <c r="D36" i="13"/>
  <c r="B36" i="13"/>
  <c r="Z35" i="13"/>
  <c r="N35" i="13"/>
  <c r="O35" i="13" s="1"/>
  <c r="J35" i="13"/>
  <c r="Z34" i="13"/>
  <c r="J34" i="13"/>
  <c r="AY30" i="13"/>
  <c r="Y30" i="13"/>
  <c r="X30" i="13"/>
  <c r="X31" i="13" s="1"/>
  <c r="X45" i="13" s="1"/>
  <c r="W30" i="13"/>
  <c r="V30" i="13"/>
  <c r="U30" i="13"/>
  <c r="T30" i="13"/>
  <c r="T31" i="13" s="1"/>
  <c r="T45" i="13" s="1"/>
  <c r="S30" i="13"/>
  <c r="R30" i="13"/>
  <c r="Q30" i="13"/>
  <c r="P30" i="13"/>
  <c r="M30" i="13"/>
  <c r="L30" i="13"/>
  <c r="K30" i="13"/>
  <c r="I30" i="13"/>
  <c r="H30" i="13"/>
  <c r="G30" i="13"/>
  <c r="F30" i="13"/>
  <c r="E30" i="13"/>
  <c r="D30" i="13"/>
  <c r="B30" i="13"/>
  <c r="AU29" i="13"/>
  <c r="Z29" i="13"/>
  <c r="N29" i="13"/>
  <c r="J29" i="13"/>
  <c r="O29" i="13"/>
  <c r="Z28" i="13"/>
  <c r="N28" i="13"/>
  <c r="J28" i="13"/>
  <c r="O28" i="13"/>
  <c r="AU27" i="13"/>
  <c r="Z27" i="13"/>
  <c r="N27" i="13"/>
  <c r="J27" i="13"/>
  <c r="O27" i="13"/>
  <c r="AA27" i="13" s="1"/>
  <c r="AC27" i="13" s="1"/>
  <c r="AD27" i="13" s="1"/>
  <c r="AU26" i="13"/>
  <c r="Z26" i="13"/>
  <c r="N26" i="13"/>
  <c r="N30" i="13"/>
  <c r="J26" i="13"/>
  <c r="O26" i="13" s="1"/>
  <c r="AA26" i="13" s="1"/>
  <c r="AC26" i="13" s="1"/>
  <c r="AD26" i="13" s="1"/>
  <c r="Z25" i="13"/>
  <c r="N25" i="13"/>
  <c r="J25" i="13"/>
  <c r="J30" i="13" s="1"/>
  <c r="AY24" i="13"/>
  <c r="Y24" i="13"/>
  <c r="X24" i="13"/>
  <c r="W24" i="13"/>
  <c r="V24" i="13"/>
  <c r="U24" i="13"/>
  <c r="T24" i="13"/>
  <c r="S24" i="13"/>
  <c r="R24" i="13"/>
  <c r="Q24" i="13"/>
  <c r="P24" i="13"/>
  <c r="M24" i="13"/>
  <c r="L24" i="13"/>
  <c r="K24" i="13"/>
  <c r="I24" i="13"/>
  <c r="H24" i="13"/>
  <c r="G24" i="13"/>
  <c r="F24" i="13"/>
  <c r="E24" i="13"/>
  <c r="D24" i="13"/>
  <c r="B24" i="13"/>
  <c r="Z23" i="13"/>
  <c r="N23" i="13"/>
  <c r="J23" i="13"/>
  <c r="Z22" i="13"/>
  <c r="N22" i="13"/>
  <c r="J22" i="13"/>
  <c r="AU21" i="13"/>
  <c r="Z21" i="13"/>
  <c r="N21" i="13"/>
  <c r="O21" i="13" s="1"/>
  <c r="AA21" i="13" s="1"/>
  <c r="AC21" i="13" s="1"/>
  <c r="AD21" i="13" s="1"/>
  <c r="J21" i="13"/>
  <c r="AU20" i="13"/>
  <c r="AU24" i="13" s="1"/>
  <c r="Z20" i="13"/>
  <c r="Z24" i="13"/>
  <c r="N20" i="13"/>
  <c r="J20" i="13"/>
  <c r="O20" i="13" s="1"/>
  <c r="AY19" i="13"/>
  <c r="Y19" i="13"/>
  <c r="X19" i="13"/>
  <c r="W19" i="13"/>
  <c r="W31" i="13"/>
  <c r="W45" i="13" s="1"/>
  <c r="V19" i="13"/>
  <c r="V31" i="13" s="1"/>
  <c r="V45" i="13" s="1"/>
  <c r="U19" i="13"/>
  <c r="T19" i="13"/>
  <c r="S19" i="13"/>
  <c r="S31" i="13" s="1"/>
  <c r="S45" i="13" s="1"/>
  <c r="R19" i="13"/>
  <c r="R31" i="13"/>
  <c r="R45" i="13" s="1"/>
  <c r="Q19" i="13"/>
  <c r="P19" i="13"/>
  <c r="M19" i="13"/>
  <c r="L19" i="13"/>
  <c r="L31" i="13"/>
  <c r="L45" i="13" s="1"/>
  <c r="K19" i="13"/>
  <c r="K31" i="13" s="1"/>
  <c r="I19" i="13"/>
  <c r="H19" i="13"/>
  <c r="G19" i="13"/>
  <c r="G31" i="13"/>
  <c r="G45" i="13" s="1"/>
  <c r="F19" i="13"/>
  <c r="E19" i="13"/>
  <c r="D19" i="13"/>
  <c r="B19" i="13"/>
  <c r="B31" i="13" s="1"/>
  <c r="Z18" i="13"/>
  <c r="N18" i="13"/>
  <c r="J18" i="13"/>
  <c r="AU17" i="13"/>
  <c r="Z17" i="13"/>
  <c r="N17" i="13"/>
  <c r="J17" i="13"/>
  <c r="O17" i="13" s="1"/>
  <c r="AA17" i="13" s="1"/>
  <c r="AC17" i="13" s="1"/>
  <c r="AD17" i="13" s="1"/>
  <c r="AU16" i="13"/>
  <c r="AU19" i="13" s="1"/>
  <c r="Z16" i="13"/>
  <c r="N16" i="13"/>
  <c r="J16" i="13"/>
  <c r="O16" i="13"/>
  <c r="AA16" i="13" s="1"/>
  <c r="AC16" i="13" s="1"/>
  <c r="AU15" i="13"/>
  <c r="Z15" i="13"/>
  <c r="N15" i="13"/>
  <c r="J15" i="13"/>
  <c r="O15" i="13" s="1"/>
  <c r="AA15" i="13" s="1"/>
  <c r="AC15" i="13" s="1"/>
  <c r="AD15" i="13" s="1"/>
  <c r="AU14" i="13"/>
  <c r="Z14" i="13"/>
  <c r="N14" i="13"/>
  <c r="N19" i="13" s="1"/>
  <c r="J14" i="13"/>
  <c r="J40" i="5"/>
  <c r="H40" i="5"/>
  <c r="E40" i="5"/>
  <c r="D40" i="5"/>
  <c r="C40" i="5"/>
  <c r="B40" i="5"/>
  <c r="K38" i="5"/>
  <c r="H32" i="5"/>
  <c r="G32" i="5"/>
  <c r="E32" i="5"/>
  <c r="D32" i="5"/>
  <c r="C32" i="5"/>
  <c r="B32" i="5"/>
  <c r="K29" i="5"/>
  <c r="K28" i="5"/>
  <c r="K27" i="5"/>
  <c r="K26" i="5"/>
  <c r="J25" i="5"/>
  <c r="I25" i="5"/>
  <c r="H25" i="5"/>
  <c r="G25" i="5"/>
  <c r="F25" i="5"/>
  <c r="E25" i="5"/>
  <c r="D25" i="5"/>
  <c r="C25" i="5"/>
  <c r="B25" i="5"/>
  <c r="K24" i="5"/>
  <c r="K23" i="5"/>
  <c r="K22" i="5"/>
  <c r="K21" i="5"/>
  <c r="J20" i="5"/>
  <c r="I20" i="5"/>
  <c r="G20" i="5"/>
  <c r="G33" i="5"/>
  <c r="F20" i="5"/>
  <c r="E20" i="5"/>
  <c r="D20" i="5"/>
  <c r="C20" i="5"/>
  <c r="C33" i="5" s="1"/>
  <c r="C41" i="5" s="1"/>
  <c r="B20" i="5"/>
  <c r="K19" i="5"/>
  <c r="K18" i="5"/>
  <c r="K17" i="5"/>
  <c r="K15" i="5"/>
  <c r="D37" i="2"/>
  <c r="E37" i="2" s="1"/>
  <c r="D36" i="2"/>
  <c r="D35" i="2"/>
  <c r="D34" i="2"/>
  <c r="E34" i="2" s="1"/>
  <c r="K34" i="2" s="1"/>
  <c r="D33" i="2"/>
  <c r="D29" i="2"/>
  <c r="D28" i="2"/>
  <c r="E28" i="2" s="1"/>
  <c r="D27" i="2"/>
  <c r="D30" i="2" s="1"/>
  <c r="D26" i="2"/>
  <c r="E26" i="2" s="1"/>
  <c r="D25" i="2"/>
  <c r="D24" i="2"/>
  <c r="D22" i="2"/>
  <c r="E22" i="2" s="1"/>
  <c r="D21" i="2"/>
  <c r="D20" i="2"/>
  <c r="D19" i="2"/>
  <c r="E19" i="2" s="1"/>
  <c r="D17" i="2"/>
  <c r="E17" i="2" s="1"/>
  <c r="D16" i="2"/>
  <c r="D18" i="2" s="1"/>
  <c r="D15" i="2"/>
  <c r="D14" i="2"/>
  <c r="E20" i="2"/>
  <c r="E15" i="2"/>
  <c r="D13" i="2"/>
  <c r="F38" i="2"/>
  <c r="F30" i="2"/>
  <c r="F23" i="2"/>
  <c r="F18" i="2"/>
  <c r="C23" i="2"/>
  <c r="B38" i="2"/>
  <c r="B30" i="2"/>
  <c r="B23" i="2"/>
  <c r="B18" i="2"/>
  <c r="E13" i="2"/>
  <c r="J38" i="2"/>
  <c r="H38" i="2"/>
  <c r="G38" i="2"/>
  <c r="C38" i="2"/>
  <c r="I37" i="2"/>
  <c r="I36" i="2"/>
  <c r="I35" i="2"/>
  <c r="I34" i="2"/>
  <c r="I33" i="2"/>
  <c r="I38" i="2" s="1"/>
  <c r="J30" i="2"/>
  <c r="H30" i="2"/>
  <c r="G30" i="2"/>
  <c r="C30" i="2"/>
  <c r="I29" i="2"/>
  <c r="I28" i="2"/>
  <c r="I27" i="2"/>
  <c r="I26" i="2"/>
  <c r="I25" i="2"/>
  <c r="I24" i="2"/>
  <c r="J23" i="2"/>
  <c r="H23" i="2"/>
  <c r="G22" i="2"/>
  <c r="I22" i="2" s="1"/>
  <c r="I21" i="2"/>
  <c r="I20" i="2"/>
  <c r="I19" i="2"/>
  <c r="J18" i="2"/>
  <c r="H18" i="2"/>
  <c r="G18" i="2"/>
  <c r="C18" i="2"/>
  <c r="C31" i="2" s="1"/>
  <c r="I17" i="2"/>
  <c r="K17" i="2" s="1"/>
  <c r="I16" i="2"/>
  <c r="I15" i="2"/>
  <c r="I18" i="2"/>
  <c r="I14" i="2"/>
  <c r="I13" i="2"/>
  <c r="E25" i="2"/>
  <c r="K25" i="2" s="1"/>
  <c r="E36" i="2"/>
  <c r="E29" i="2"/>
  <c r="K29" i="2" s="1"/>
  <c r="O25" i="13"/>
  <c r="AA25" i="13" s="1"/>
  <c r="O23" i="13"/>
  <c r="AY31" i="13"/>
  <c r="AY45" i="13" s="1"/>
  <c r="O40" i="13"/>
  <c r="AA40" i="13" s="1"/>
  <c r="AC40" i="13" s="1"/>
  <c r="AD40" i="13" s="1"/>
  <c r="B44" i="13"/>
  <c r="AD16" i="13"/>
  <c r="D31" i="13"/>
  <c r="D45" i="13" s="1"/>
  <c r="Z44" i="13"/>
  <c r="AD42" i="13"/>
  <c r="AE45" i="14"/>
  <c r="AC45" i="14"/>
  <c r="AG19" i="14"/>
  <c r="O42" i="14"/>
  <c r="O15" i="14"/>
  <c r="W15" i="14"/>
  <c r="O16" i="14"/>
  <c r="O17" i="14"/>
  <c r="O18" i="14"/>
  <c r="G31" i="14"/>
  <c r="G45" i="14" s="1"/>
  <c r="R31" i="14"/>
  <c r="R45" i="14" s="1"/>
  <c r="O43" i="14"/>
  <c r="B31" i="14"/>
  <c r="AZ30" i="14"/>
  <c r="O29" i="14"/>
  <c r="W29" i="14" s="1"/>
  <c r="Y29" i="14" s="1"/>
  <c r="Z29" i="14" s="1"/>
  <c r="O39" i="14"/>
  <c r="BD31" i="14"/>
  <c r="BD45" i="14" s="1"/>
  <c r="O14" i="14"/>
  <c r="W14" i="14" s="1"/>
  <c r="AZ24" i="14"/>
  <c r="B44" i="14"/>
  <c r="B45" i="14" s="1"/>
  <c r="W39" i="14"/>
  <c r="Z23" i="15"/>
  <c r="Z42" i="15"/>
  <c r="Z22" i="15"/>
  <c r="Z26" i="15"/>
  <c r="N44" i="15"/>
  <c r="Z17" i="15"/>
  <c r="Z18" i="15"/>
  <c r="AL18" i="15"/>
  <c r="J24" i="15"/>
  <c r="Z41" i="15"/>
  <c r="Z16" i="15"/>
  <c r="J36" i="15"/>
  <c r="Z43" i="15"/>
  <c r="AL29" i="15"/>
  <c r="AL43" i="15"/>
  <c r="Z36" i="15"/>
  <c r="Z28" i="15"/>
  <c r="Z27" i="15"/>
  <c r="Z40" i="15"/>
  <c r="Z14" i="15"/>
  <c r="AL42" i="15"/>
  <c r="AL34" i="15"/>
  <c r="AL26" i="15"/>
  <c r="AL28" i="15"/>
  <c r="AH24" i="15"/>
  <c r="AL25" i="15"/>
  <c r="AL40" i="15"/>
  <c r="AL36" i="15"/>
  <c r="Z34" i="15"/>
  <c r="AL27" i="15"/>
  <c r="Z30" i="15"/>
  <c r="Z25" i="15"/>
  <c r="AL30" i="15"/>
  <c r="AL23" i="15"/>
  <c r="AL22" i="15"/>
  <c r="AL21" i="15"/>
  <c r="Z21" i="15"/>
  <c r="AL16" i="15"/>
  <c r="Z15" i="15"/>
  <c r="Z39" i="15"/>
  <c r="Z24" i="15"/>
  <c r="Z20" i="15"/>
  <c r="AL24" i="15"/>
  <c r="AL20" i="15"/>
  <c r="AL15" i="15"/>
  <c r="AL14" i="15"/>
  <c r="AL31" i="15"/>
  <c r="Z44" i="15"/>
  <c r="AL19" i="15"/>
  <c r="D31" i="15"/>
  <c r="D45" i="15" s="1"/>
  <c r="AF38" i="17"/>
  <c r="AG38" i="17" s="1"/>
  <c r="O23" i="17"/>
  <c r="O14" i="17"/>
  <c r="Y43" i="15"/>
  <c r="AI43" i="15"/>
  <c r="AC39" i="13"/>
  <c r="E14" i="2"/>
  <c r="K14" i="2" s="1"/>
  <c r="E21" i="2"/>
  <c r="E35" i="2"/>
  <c r="AH39" i="14"/>
  <c r="Y39" i="14"/>
  <c r="Z39" i="14" s="1"/>
  <c r="Y27" i="14"/>
  <c r="Z27" i="14" s="1"/>
  <c r="J24" i="13"/>
  <c r="K15" i="2"/>
  <c r="K16" i="2"/>
  <c r="E16" i="2"/>
  <c r="E24" i="2"/>
  <c r="K37" i="2"/>
  <c r="B45" i="13"/>
  <c r="AA51" i="13" s="1"/>
  <c r="J31" i="2"/>
  <c r="J39" i="2" s="1"/>
  <c r="Z36" i="13"/>
  <c r="AA35" i="13"/>
  <c r="AC35" i="13" s="1"/>
  <c r="AH29" i="14"/>
  <c r="AM29" i="14" s="1"/>
  <c r="AH22" i="14"/>
  <c r="K20" i="2"/>
  <c r="Y17" i="15"/>
  <c r="K36" i="15"/>
  <c r="K45" i="15" s="1"/>
  <c r="N34" i="15"/>
  <c r="N36" i="15" s="1"/>
  <c r="T31" i="15"/>
  <c r="T45" i="15"/>
  <c r="N30" i="15"/>
  <c r="N19" i="14"/>
  <c r="C31" i="15"/>
  <c r="C45" i="15" s="1"/>
  <c r="H45" i="15"/>
  <c r="AH19" i="15"/>
  <c r="AH44" i="15"/>
  <c r="O39" i="15"/>
  <c r="W39" i="15" s="1"/>
  <c r="P31" i="20"/>
  <c r="P45" i="20" s="1"/>
  <c r="T31" i="20"/>
  <c r="T45" i="20" s="1"/>
  <c r="E44" i="20"/>
  <c r="J42" i="20"/>
  <c r="O16" i="20"/>
  <c r="C31" i="20"/>
  <c r="C45" i="20" s="1"/>
  <c r="H31" i="20"/>
  <c r="H45" i="20" s="1"/>
  <c r="M31" i="20"/>
  <c r="M45" i="20" s="1"/>
  <c r="S31" i="20"/>
  <c r="S45" i="20" s="1"/>
  <c r="BE31" i="20"/>
  <c r="BE45" i="20" s="1"/>
  <c r="O22" i="20"/>
  <c r="W22" i="20" s="1"/>
  <c r="AI22" i="20" s="1"/>
  <c r="K45" i="20"/>
  <c r="N24" i="20"/>
  <c r="O25" i="20"/>
  <c r="W25" i="20" s="1"/>
  <c r="O41" i="20"/>
  <c r="W41" i="20" s="1"/>
  <c r="W18" i="20"/>
  <c r="AI18" i="20" s="1"/>
  <c r="AN18" i="20" s="1"/>
  <c r="AO18" i="20" s="1"/>
  <c r="V24" i="20"/>
  <c r="N30" i="20"/>
  <c r="AC31" i="20"/>
  <c r="AG31" i="20"/>
  <c r="W35" i="20"/>
  <c r="Y35" i="20" s="1"/>
  <c r="AH44" i="20"/>
  <c r="BA19" i="20"/>
  <c r="AF31" i="20"/>
  <c r="AF45" i="20"/>
  <c r="AO35" i="20"/>
  <c r="AI43" i="20"/>
  <c r="AN43" i="20" s="1"/>
  <c r="AO43" i="20" s="1"/>
  <c r="Y43" i="20"/>
  <c r="Z43" i="20" s="1"/>
  <c r="AI23" i="20"/>
  <c r="Y23" i="20"/>
  <c r="Z23" i="20" s="1"/>
  <c r="R31" i="20"/>
  <c r="J20" i="20"/>
  <c r="O20" i="20" s="1"/>
  <c r="J19" i="20"/>
  <c r="E30" i="20"/>
  <c r="N34" i="20"/>
  <c r="O14" i="20"/>
  <c r="W14" i="20" s="1"/>
  <c r="E19" i="20"/>
  <c r="AH30" i="20"/>
  <c r="AH31" i="20"/>
  <c r="J36" i="20"/>
  <c r="AM39" i="14"/>
  <c r="AJ39" i="14"/>
  <c r="K21" i="2"/>
  <c r="AD39" i="13"/>
  <c r="AN43" i="15"/>
  <c r="AO43" i="15" s="1"/>
  <c r="AK43" i="15"/>
  <c r="K35" i="2"/>
  <c r="K24" i="2"/>
  <c r="AJ29" i="14"/>
  <c r="AK29" i="14" s="1"/>
  <c r="AA55" i="13"/>
  <c r="AK43" i="20"/>
  <c r="AL43" i="20" s="1"/>
  <c r="AH26" i="17" l="1"/>
  <c r="AI26" i="17" s="1"/>
  <c r="AQ19" i="17"/>
  <c r="C31" i="17"/>
  <c r="H31" i="17"/>
  <c r="H40" i="17" s="1"/>
  <c r="M31" i="17"/>
  <c r="AQ24" i="17"/>
  <c r="B31" i="17"/>
  <c r="G31" i="17"/>
  <c r="G40" i="17" s="1"/>
  <c r="L31" i="17"/>
  <c r="T31" i="17"/>
  <c r="D31" i="17"/>
  <c r="D40" i="17" s="1"/>
  <c r="AD52" i="17" s="1"/>
  <c r="P31" i="17"/>
  <c r="P40" i="17" s="1"/>
  <c r="N39" i="17"/>
  <c r="J37" i="17"/>
  <c r="S31" i="17"/>
  <c r="S40" i="17" s="1"/>
  <c r="AC39" i="17"/>
  <c r="J39" i="17"/>
  <c r="AQ30" i="17"/>
  <c r="E30" i="17"/>
  <c r="AF16" i="17"/>
  <c r="AG16" i="17" s="1"/>
  <c r="AH27" i="17"/>
  <c r="AI27" i="17" s="1"/>
  <c r="AH35" i="17"/>
  <c r="AI35" i="17" s="1"/>
  <c r="N19" i="17"/>
  <c r="O27" i="17"/>
  <c r="O36" i="17"/>
  <c r="J25" i="17"/>
  <c r="AH21" i="17"/>
  <c r="AI21" i="17" s="1"/>
  <c r="O35" i="17"/>
  <c r="O28" i="17"/>
  <c r="AC44" i="17"/>
  <c r="AH28" i="17"/>
  <c r="AI28" i="17" s="1"/>
  <c r="AF28" i="17"/>
  <c r="AG28" i="17" s="1"/>
  <c r="AH17" i="17"/>
  <c r="AI17" i="17" s="1"/>
  <c r="AF17" i="17"/>
  <c r="AG17" i="17" s="1"/>
  <c r="AF23" i="17"/>
  <c r="AG23" i="17" s="1"/>
  <c r="AH23" i="17"/>
  <c r="AI23" i="17" s="1"/>
  <c r="AH37" i="17"/>
  <c r="AI37" i="17" s="1"/>
  <c r="AF37" i="17"/>
  <c r="AG37" i="17" s="1"/>
  <c r="AD44" i="17"/>
  <c r="AF43" i="17"/>
  <c r="AH43" i="17"/>
  <c r="C40" i="17"/>
  <c r="M40" i="17"/>
  <c r="O37" i="17"/>
  <c r="T40" i="17"/>
  <c r="O18" i="17"/>
  <c r="F31" i="17"/>
  <c r="F40" i="17" s="1"/>
  <c r="I31" i="17"/>
  <c r="I40" i="17" s="1"/>
  <c r="O34" i="17"/>
  <c r="O38" i="17"/>
  <c r="AI25" i="20"/>
  <c r="Y25" i="20"/>
  <c r="Z25" i="20" s="1"/>
  <c r="Y15" i="20"/>
  <c r="Z15" i="20" s="1"/>
  <c r="AI15" i="20"/>
  <c r="W56" i="20"/>
  <c r="D46" i="20"/>
  <c r="AI39" i="15"/>
  <c r="Y39" i="15"/>
  <c r="Y14" i="20"/>
  <c r="AI14" i="20"/>
  <c r="W20" i="20"/>
  <c r="AI20" i="20" s="1"/>
  <c r="W55" i="14"/>
  <c r="W51" i="14"/>
  <c r="K34" i="14"/>
  <c r="J36" i="14"/>
  <c r="O41" i="14"/>
  <c r="N44" i="14"/>
  <c r="J44" i="17"/>
  <c r="K43" i="17"/>
  <c r="N44" i="20"/>
  <c r="R45" i="20"/>
  <c r="W16" i="20"/>
  <c r="O30" i="13"/>
  <c r="N24" i="17"/>
  <c r="AC25" i="13"/>
  <c r="K19" i="2"/>
  <c r="W16" i="15"/>
  <c r="AI16" i="15" s="1"/>
  <c r="AN16" i="15" s="1"/>
  <c r="O20" i="15"/>
  <c r="W20" i="15" s="1"/>
  <c r="N24" i="15"/>
  <c r="AH15" i="17"/>
  <c r="AI15" i="17" s="1"/>
  <c r="AF15" i="17"/>
  <c r="AG15" i="17" s="1"/>
  <c r="J22" i="17"/>
  <c r="O22" i="17" s="1"/>
  <c r="O24" i="17" s="1"/>
  <c r="E24" i="17"/>
  <c r="Q31" i="20"/>
  <c r="Q45" i="20" s="1"/>
  <c r="AA21" i="25"/>
  <c r="AE21" i="25" s="1"/>
  <c r="AF21" i="25" s="1"/>
  <c r="Z24" i="25"/>
  <c r="K44" i="25"/>
  <c r="N43" i="25"/>
  <c r="O14" i="15"/>
  <c r="N19" i="15"/>
  <c r="J28" i="25"/>
  <c r="O28" i="25" s="1"/>
  <c r="E30" i="25"/>
  <c r="AN29" i="14"/>
  <c r="J24" i="20"/>
  <c r="J31" i="20" s="1"/>
  <c r="Y22" i="20"/>
  <c r="Z22" i="20" s="1"/>
  <c r="W39" i="20"/>
  <c r="V31" i="20"/>
  <c r="V45" i="20" s="1"/>
  <c r="O14" i="13"/>
  <c r="AA14" i="13" s="1"/>
  <c r="AC14" i="13" s="1"/>
  <c r="AD14" i="13" s="1"/>
  <c r="AQ31" i="17"/>
  <c r="AQ44" i="17" s="1"/>
  <c r="K36" i="2"/>
  <c r="Q45" i="14"/>
  <c r="AI26" i="15"/>
  <c r="Y26" i="15"/>
  <c r="J30" i="15"/>
  <c r="O27" i="15"/>
  <c r="W27" i="15" s="1"/>
  <c r="O26" i="17"/>
  <c r="N30" i="17"/>
  <c r="J17" i="17"/>
  <c r="E19" i="17"/>
  <c r="O29" i="20"/>
  <c r="W29" i="20" s="1"/>
  <c r="AC18" i="25"/>
  <c r="AD18" i="25" s="1"/>
  <c r="AE18" i="25"/>
  <c r="AF18" i="25" s="1"/>
  <c r="N30" i="25"/>
  <c r="AE29" i="25"/>
  <c r="AF29" i="25" s="1"/>
  <c r="AC29" i="25"/>
  <c r="AD29" i="25" s="1"/>
  <c r="O40" i="14"/>
  <c r="W40" i="14" s="1"/>
  <c r="J44" i="14"/>
  <c r="AK18" i="20"/>
  <c r="AL18" i="20" s="1"/>
  <c r="AD48" i="17"/>
  <c r="E31" i="20"/>
  <c r="E45" i="20" s="1"/>
  <c r="AH45" i="20"/>
  <c r="AC45" i="20"/>
  <c r="N31" i="15"/>
  <c r="D23" i="2"/>
  <c r="D31" i="2" s="1"/>
  <c r="W43" i="14"/>
  <c r="Y43" i="14" s="1"/>
  <c r="Z43" i="14" s="1"/>
  <c r="E33" i="2"/>
  <c r="E38" i="2" s="1"/>
  <c r="K33" i="2"/>
  <c r="K38" i="2" s="1"/>
  <c r="D38" i="2"/>
  <c r="P31" i="13"/>
  <c r="P45" i="13" s="1"/>
  <c r="J36" i="13"/>
  <c r="K34" i="13"/>
  <c r="AN17" i="15"/>
  <c r="AO17" i="15" s="1"/>
  <c r="AK17" i="15"/>
  <c r="BA19" i="15"/>
  <c r="BA31" i="15" s="1"/>
  <c r="BA45" i="15" s="1"/>
  <c r="S45" i="15"/>
  <c r="Y29" i="15"/>
  <c r="AI29" i="15"/>
  <c r="AF36" i="17"/>
  <c r="AG36" i="17" s="1"/>
  <c r="AH36" i="17"/>
  <c r="AI36" i="17" s="1"/>
  <c r="V36" i="20"/>
  <c r="AH18" i="17"/>
  <c r="AI18" i="17" s="1"/>
  <c r="AF18" i="17"/>
  <c r="AG18" i="17" s="1"/>
  <c r="AD20" i="17"/>
  <c r="AD24" i="17" s="1"/>
  <c r="AC24" i="17"/>
  <c r="AH25" i="17"/>
  <c r="AI25" i="17" s="1"/>
  <c r="AF25" i="17"/>
  <c r="AG25" i="17" s="1"/>
  <c r="N39" i="25"/>
  <c r="W18" i="14"/>
  <c r="Y18" i="14" s="1"/>
  <c r="Z18" i="14" s="1"/>
  <c r="C39" i="2"/>
  <c r="K13" i="2"/>
  <c r="K18" i="2" s="1"/>
  <c r="F31" i="2"/>
  <c r="F39" i="2" s="1"/>
  <c r="E23" i="2"/>
  <c r="K28" i="2"/>
  <c r="D33" i="5"/>
  <c r="D41" i="5" s="1"/>
  <c r="Z30" i="13"/>
  <c r="AA28" i="13"/>
  <c r="AC28" i="13" s="1"/>
  <c r="AD28" i="13" s="1"/>
  <c r="AA29" i="13"/>
  <c r="AC29" i="13" s="1"/>
  <c r="AD29" i="13" s="1"/>
  <c r="F31" i="13"/>
  <c r="F45" i="13" s="1"/>
  <c r="U31" i="13"/>
  <c r="U45" i="13" s="1"/>
  <c r="O41" i="13"/>
  <c r="AA41" i="13" s="1"/>
  <c r="AC41" i="13" s="1"/>
  <c r="U45" i="14"/>
  <c r="V19" i="15"/>
  <c r="V31" i="15" s="1"/>
  <c r="V45" i="15" s="1"/>
  <c r="O18" i="15"/>
  <c r="W18" i="15" s="1"/>
  <c r="V24" i="15"/>
  <c r="AH30" i="15"/>
  <c r="AH31" i="15" s="1"/>
  <c r="AH45" i="15" s="1"/>
  <c r="O42" i="15"/>
  <c r="W42" i="15" s="1"/>
  <c r="M31" i="25"/>
  <c r="M40" i="25" s="1"/>
  <c r="L40" i="17"/>
  <c r="W42" i="14"/>
  <c r="AA23" i="13"/>
  <c r="AC23" i="13" s="1"/>
  <c r="AD23" i="13" s="1"/>
  <c r="H31" i="2"/>
  <c r="H39" i="2" s="1"/>
  <c r="I35" i="5" s="1"/>
  <c r="I40" i="5" s="1"/>
  <c r="I30" i="2"/>
  <c r="B31" i="2"/>
  <c r="B39" i="2" s="1"/>
  <c r="E33" i="5"/>
  <c r="K25" i="5"/>
  <c r="E31" i="13"/>
  <c r="H31" i="13"/>
  <c r="H45" i="13" s="1"/>
  <c r="I31" i="14"/>
  <c r="I45" i="14" s="1"/>
  <c r="BE31" i="15"/>
  <c r="BE45" i="15" s="1"/>
  <c r="O21" i="15"/>
  <c r="W21" i="15" s="1"/>
  <c r="AI21" i="15" s="1"/>
  <c r="W23" i="15"/>
  <c r="AI23" i="15" s="1"/>
  <c r="O28" i="15"/>
  <c r="W28" i="15" s="1"/>
  <c r="O35" i="15"/>
  <c r="W35" i="15" s="1"/>
  <c r="E24" i="20"/>
  <c r="AE31" i="20"/>
  <c r="AE45" i="20" s="1"/>
  <c r="O15" i="25"/>
  <c r="O16" i="25"/>
  <c r="AN19" i="25"/>
  <c r="AN31" i="25" s="1"/>
  <c r="AN44" i="25" s="1"/>
  <c r="O18" i="25"/>
  <c r="AR31" i="25"/>
  <c r="AR44" i="25" s="1"/>
  <c r="W16" i="14"/>
  <c r="I23" i="2"/>
  <c r="I31" i="2" s="1"/>
  <c r="I39" i="2" s="1"/>
  <c r="K26" i="2"/>
  <c r="B33" i="5"/>
  <c r="B41" i="5" s="1"/>
  <c r="I31" i="13"/>
  <c r="I45" i="13" s="1"/>
  <c r="O22" i="13"/>
  <c r="AA22" i="13" s="1"/>
  <c r="AC22" i="13" s="1"/>
  <c r="AD22" i="13" s="1"/>
  <c r="C31" i="13"/>
  <c r="C45" i="13" s="1"/>
  <c r="F45" i="14"/>
  <c r="O21" i="14"/>
  <c r="W21" i="14" s="1"/>
  <c r="Y21" i="14" s="1"/>
  <c r="Z21" i="14" s="1"/>
  <c r="D31" i="14"/>
  <c r="D45" i="14" s="1"/>
  <c r="H31" i="14"/>
  <c r="H45" i="14" s="1"/>
  <c r="S31" i="14"/>
  <c r="S45" i="14" s="1"/>
  <c r="W26" i="14"/>
  <c r="W28" i="14"/>
  <c r="V30" i="14"/>
  <c r="V31" i="14" s="1"/>
  <c r="V45" i="14" s="1"/>
  <c r="W35" i="14"/>
  <c r="V44" i="14"/>
  <c r="E31" i="15"/>
  <c r="E45" i="15" s="1"/>
  <c r="AG31" i="15"/>
  <c r="AG45" i="15" s="1"/>
  <c r="O17" i="20"/>
  <c r="W17" i="20" s="1"/>
  <c r="U31" i="20"/>
  <c r="U45" i="20" s="1"/>
  <c r="O21" i="20"/>
  <c r="W21" i="20" s="1"/>
  <c r="O26" i="20"/>
  <c r="W26" i="20" s="1"/>
  <c r="BA30" i="20"/>
  <c r="BA31" i="20" s="1"/>
  <c r="BA45" i="20" s="1"/>
  <c r="N19" i="25"/>
  <c r="C31" i="25"/>
  <c r="C40" i="25" s="1"/>
  <c r="O27" i="25"/>
  <c r="O35" i="25"/>
  <c r="AF29" i="17"/>
  <c r="AG29" i="17" s="1"/>
  <c r="AD39" i="17"/>
  <c r="AH34" i="17"/>
  <c r="AI34" i="17" s="1"/>
  <c r="AB40" i="17"/>
  <c r="AC30" i="17"/>
  <c r="AH22" i="17"/>
  <c r="AF22" i="17"/>
  <c r="AG22" i="17" s="1"/>
  <c r="AD30" i="17"/>
  <c r="U40" i="17"/>
  <c r="AD19" i="17"/>
  <c r="AC19" i="17"/>
  <c r="G23" i="2"/>
  <c r="G31" i="2" s="1"/>
  <c r="G39" i="2" s="1"/>
  <c r="K22" i="2"/>
  <c r="K23" i="2"/>
  <c r="AK22" i="20"/>
  <c r="AL22" i="20" s="1"/>
  <c r="AN22" i="20"/>
  <c r="AO22" i="20" s="1"/>
  <c r="AI41" i="20"/>
  <c r="Y41" i="20"/>
  <c r="Z41" i="20" s="1"/>
  <c r="AK20" i="20"/>
  <c r="AN20" i="20"/>
  <c r="W24" i="20"/>
  <c r="Y20" i="20"/>
  <c r="AO20" i="20"/>
  <c r="AI40" i="20"/>
  <c r="N45" i="15"/>
  <c r="AJ22" i="14"/>
  <c r="AK22" i="14" s="1"/>
  <c r="AM22" i="14"/>
  <c r="AN22" i="14" s="1"/>
  <c r="J31" i="5"/>
  <c r="J30" i="5"/>
  <c r="AD41" i="13"/>
  <c r="AN39" i="15"/>
  <c r="AK39" i="15"/>
  <c r="AN39" i="14"/>
  <c r="N36" i="20"/>
  <c r="O34" i="20"/>
  <c r="Y39" i="20"/>
  <c r="AI39" i="20"/>
  <c r="N45" i="20"/>
  <c r="AK23" i="20"/>
  <c r="AL23" i="20" s="1"/>
  <c r="AN23" i="20"/>
  <c r="AO23" i="20" s="1"/>
  <c r="W52" i="20"/>
  <c r="D47" i="20"/>
  <c r="J44" i="20"/>
  <c r="O42" i="20"/>
  <c r="Z14" i="20"/>
  <c r="O34" i="15"/>
  <c r="J14" i="25"/>
  <c r="E19" i="25"/>
  <c r="E31" i="25" s="1"/>
  <c r="E40" i="25" s="1"/>
  <c r="AF20" i="25"/>
  <c r="AA44" i="25"/>
  <c r="AC43" i="25"/>
  <c r="AE43" i="25"/>
  <c r="Y18" i="20"/>
  <c r="Z18" i="20" s="1"/>
  <c r="AI35" i="20"/>
  <c r="AK16" i="15"/>
  <c r="W44" i="14"/>
  <c r="AM27" i="14"/>
  <c r="AN27" i="14" s="1"/>
  <c r="AH43" i="14"/>
  <c r="AH14" i="14"/>
  <c r="Y14" i="14"/>
  <c r="W41" i="14"/>
  <c r="O44" i="14"/>
  <c r="W17" i="14"/>
  <c r="O19" i="14"/>
  <c r="AG45" i="14"/>
  <c r="I33" i="5"/>
  <c r="I41" i="5" s="1"/>
  <c r="Y23" i="15"/>
  <c r="Y35" i="15"/>
  <c r="AI35" i="15"/>
  <c r="AO35" i="15"/>
  <c r="Y18" i="15"/>
  <c r="AI18" i="15"/>
  <c r="O30" i="15"/>
  <c r="W25" i="15"/>
  <c r="D46" i="13"/>
  <c r="D47" i="13" s="1"/>
  <c r="AI27" i="15"/>
  <c r="Y27" i="15"/>
  <c r="Y16" i="15"/>
  <c r="AO16" i="15"/>
  <c r="J24" i="14"/>
  <c r="J31" i="14" s="1"/>
  <c r="J45" i="14" s="1"/>
  <c r="O20" i="14"/>
  <c r="AH21" i="14"/>
  <c r="O23" i="14"/>
  <c r="W23" i="14" s="1"/>
  <c r="N24" i="14"/>
  <c r="N31" i="14" s="1"/>
  <c r="D46" i="14"/>
  <c r="D47" i="14" s="1"/>
  <c r="J30" i="14"/>
  <c r="O25" i="14"/>
  <c r="J19" i="15"/>
  <c r="J31" i="15" s="1"/>
  <c r="J45" i="15" s="1"/>
  <c r="AI41" i="15"/>
  <c r="Y41" i="15"/>
  <c r="AH18" i="14"/>
  <c r="O18" i="13"/>
  <c r="J19" i="13"/>
  <c r="J31" i="13" s="1"/>
  <c r="J45" i="13" s="1"/>
  <c r="AZ31" i="14"/>
  <c r="AZ45" i="14" s="1"/>
  <c r="E18" i="2"/>
  <c r="Y15" i="15"/>
  <c r="AI15" i="15"/>
  <c r="Y15" i="14"/>
  <c r="Z15" i="14" s="1"/>
  <c r="AH15" i="14"/>
  <c r="E27" i="2"/>
  <c r="E30" i="2" s="1"/>
  <c r="I31" i="5"/>
  <c r="I32" i="5" s="1"/>
  <c r="Z19" i="13"/>
  <c r="Z31" i="13" s="1"/>
  <c r="Z45" i="13" s="1"/>
  <c r="E45" i="13"/>
  <c r="O24" i="13"/>
  <c r="AA20" i="13"/>
  <c r="Q31" i="13"/>
  <c r="Q45" i="13" s="1"/>
  <c r="Y31" i="13"/>
  <c r="Y45" i="13" s="1"/>
  <c r="AU30" i="13"/>
  <c r="AU31" i="13" s="1"/>
  <c r="AU45" i="13" s="1"/>
  <c r="N44" i="13"/>
  <c r="P45" i="14"/>
  <c r="G31" i="15"/>
  <c r="G45" i="15" s="1"/>
  <c r="J39" i="25"/>
  <c r="O34" i="25"/>
  <c r="AC37" i="25"/>
  <c r="AD37" i="25" s="1"/>
  <c r="AE37" i="25"/>
  <c r="AF37" i="25" s="1"/>
  <c r="Y21" i="15"/>
  <c r="E41" i="5"/>
  <c r="M31" i="13"/>
  <c r="M45" i="13" s="1"/>
  <c r="O43" i="13"/>
  <c r="J44" i="13"/>
  <c r="R31" i="15"/>
  <c r="R45" i="15" s="1"/>
  <c r="U31" i="15"/>
  <c r="U45" i="15" s="1"/>
  <c r="O40" i="15"/>
  <c r="L40" i="25"/>
  <c r="N24" i="13"/>
  <c r="N31" i="13" s="1"/>
  <c r="T45" i="14"/>
  <c r="O22" i="15"/>
  <c r="B31" i="15"/>
  <c r="O28" i="20"/>
  <c r="W28" i="20" s="1"/>
  <c r="J30" i="25"/>
  <c r="AE15" i="25"/>
  <c r="AF15" i="25" s="1"/>
  <c r="AC35" i="25"/>
  <c r="AD35" i="25" s="1"/>
  <c r="AE35" i="25"/>
  <c r="AF35" i="25" s="1"/>
  <c r="K40" i="25"/>
  <c r="J24" i="25"/>
  <c r="O20" i="25"/>
  <c r="O24" i="25" s="1"/>
  <c r="O30" i="25"/>
  <c r="AE14" i="25"/>
  <c r="AF14" i="25" s="1"/>
  <c r="AA19" i="25"/>
  <c r="AC16" i="25"/>
  <c r="AD16" i="25" s="1"/>
  <c r="AE16" i="25"/>
  <c r="AF16" i="25" s="1"/>
  <c r="AE22" i="25"/>
  <c r="AF22" i="25" s="1"/>
  <c r="AA24" i="25"/>
  <c r="AC22" i="25"/>
  <c r="AD22" i="25" s="1"/>
  <c r="AA25" i="25"/>
  <c r="Z30" i="25"/>
  <c r="B40" i="25"/>
  <c r="O27" i="20"/>
  <c r="B40" i="17"/>
  <c r="Z19" i="25"/>
  <c r="D31" i="25"/>
  <c r="D40" i="25" s="1"/>
  <c r="AE34" i="25"/>
  <c r="AC34" i="25"/>
  <c r="AA39" i="25"/>
  <c r="AC20" i="25"/>
  <c r="AC38" i="25"/>
  <c r="AD38" i="25" s="1"/>
  <c r="AC21" i="25"/>
  <c r="AD21" i="25" s="1"/>
  <c r="AE23" i="25"/>
  <c r="AF23" i="25" s="1"/>
  <c r="AE26" i="25"/>
  <c r="AF26" i="25" s="1"/>
  <c r="AC27" i="25"/>
  <c r="AD27" i="25" s="1"/>
  <c r="AF14" i="17"/>
  <c r="AD15" i="25"/>
  <c r="AH30" i="17" l="1"/>
  <c r="AI30" i="17" s="1"/>
  <c r="O25" i="17"/>
  <c r="O30" i="17" s="1"/>
  <c r="J30" i="17"/>
  <c r="AF39" i="17"/>
  <c r="AG39" i="17" s="1"/>
  <c r="AH44" i="17"/>
  <c r="AI44" i="17" s="1"/>
  <c r="AI43" i="17"/>
  <c r="N31" i="17"/>
  <c r="O39" i="17"/>
  <c r="AG43" i="17"/>
  <c r="AF44" i="17"/>
  <c r="AG44" i="17" s="1"/>
  <c r="J24" i="17"/>
  <c r="E31" i="17"/>
  <c r="E40" i="17" s="1"/>
  <c r="AH19" i="17"/>
  <c r="AI19" i="17" s="1"/>
  <c r="AC31" i="17"/>
  <c r="AC40" i="17" s="1"/>
  <c r="Y26" i="20"/>
  <c r="Z26" i="20" s="1"/>
  <c r="AI26" i="20"/>
  <c r="AH42" i="14"/>
  <c r="Y42" i="14"/>
  <c r="Z42" i="14" s="1"/>
  <c r="J19" i="17"/>
  <c r="J31" i="17" s="1"/>
  <c r="J40" i="17" s="1"/>
  <c r="J45" i="17" s="1"/>
  <c r="J46" i="17" s="1"/>
  <c r="O17" i="17"/>
  <c r="O19" i="17" s="1"/>
  <c r="O31" i="17" s="1"/>
  <c r="O19" i="20"/>
  <c r="N44" i="25"/>
  <c r="O43" i="25"/>
  <c r="O44" i="25" s="1"/>
  <c r="AN14" i="20"/>
  <c r="AK14" i="20"/>
  <c r="AL14" i="20" s="1"/>
  <c r="O39" i="25"/>
  <c r="J45" i="20"/>
  <c r="AI21" i="20"/>
  <c r="Y21" i="20"/>
  <c r="Z21" i="20" s="1"/>
  <c r="AH28" i="14"/>
  <c r="Y28" i="14"/>
  <c r="Z28" i="14" s="1"/>
  <c r="AN21" i="15"/>
  <c r="AO21" i="15" s="1"/>
  <c r="AK21" i="15"/>
  <c r="AN29" i="15"/>
  <c r="AO29" i="15" s="1"/>
  <c r="AK29" i="15"/>
  <c r="K44" i="17"/>
  <c r="K40" i="17" s="1"/>
  <c r="N43" i="17"/>
  <c r="AK15" i="20"/>
  <c r="AL15" i="20" s="1"/>
  <c r="AN15" i="20"/>
  <c r="AO15" i="20" s="1"/>
  <c r="AF30" i="17"/>
  <c r="AG30" i="17" s="1"/>
  <c r="Y26" i="14"/>
  <c r="Z26" i="14" s="1"/>
  <c r="AH26" i="14"/>
  <c r="AH16" i="14"/>
  <c r="Y16" i="14"/>
  <c r="Z16" i="14" s="1"/>
  <c r="AI29" i="20"/>
  <c r="Y29" i="20"/>
  <c r="Z29" i="20" s="1"/>
  <c r="AN26" i="15"/>
  <c r="AO26" i="15" s="1"/>
  <c r="AK26" i="15"/>
  <c r="O19" i="15"/>
  <c r="W14" i="15"/>
  <c r="AA30" i="13"/>
  <c r="Y16" i="20"/>
  <c r="AI16" i="20"/>
  <c r="K36" i="14"/>
  <c r="K45" i="14" s="1"/>
  <c r="N34" i="14"/>
  <c r="O24" i="20"/>
  <c r="AH39" i="17"/>
  <c r="AI39" i="17" s="1"/>
  <c r="AI17" i="20"/>
  <c r="Y17" i="20"/>
  <c r="Z17" i="20" s="1"/>
  <c r="AH35" i="14"/>
  <c r="AN35" i="14"/>
  <c r="Y35" i="14"/>
  <c r="Y28" i="15"/>
  <c r="AI28" i="15"/>
  <c r="Y42" i="15"/>
  <c r="AI42" i="15"/>
  <c r="AH20" i="17"/>
  <c r="AI20" i="17" s="1"/>
  <c r="AF20" i="17"/>
  <c r="K36" i="13"/>
  <c r="K45" i="13" s="1"/>
  <c r="N34" i="13"/>
  <c r="D39" i="2"/>
  <c r="AH40" i="14"/>
  <c r="Y40" i="14"/>
  <c r="Z40" i="14" s="1"/>
  <c r="N31" i="25"/>
  <c r="N40" i="25" s="1"/>
  <c r="AI20" i="15"/>
  <c r="Y20" i="15"/>
  <c r="AC30" i="13"/>
  <c r="AD30" i="13" s="1"/>
  <c r="AD25" i="13"/>
  <c r="W19" i="20"/>
  <c r="AN25" i="20"/>
  <c r="AO25" i="20" s="1"/>
  <c r="AK25" i="20"/>
  <c r="AL25" i="20" s="1"/>
  <c r="AD31" i="17"/>
  <c r="AD40" i="17" s="1"/>
  <c r="AI22" i="17"/>
  <c r="J46" i="20"/>
  <c r="J47" i="20" s="1"/>
  <c r="O46" i="20"/>
  <c r="O47" i="20" s="1"/>
  <c r="AG14" i="17"/>
  <c r="AF19" i="17"/>
  <c r="AM43" i="14"/>
  <c r="AN43" i="14" s="1"/>
  <c r="AJ43" i="14"/>
  <c r="AK43" i="14" s="1"/>
  <c r="J32" i="5"/>
  <c r="J33" i="5" s="1"/>
  <c r="J41" i="5" s="1"/>
  <c r="K30" i="5"/>
  <c r="K32" i="5" s="1"/>
  <c r="AC19" i="25"/>
  <c r="AE39" i="25"/>
  <c r="AF39" i="25" s="1"/>
  <c r="AF34" i="25"/>
  <c r="W27" i="20"/>
  <c r="O30" i="20"/>
  <c r="AA30" i="25"/>
  <c r="AE25" i="25"/>
  <c r="AC25" i="25"/>
  <c r="AC20" i="13"/>
  <c r="AA24" i="13"/>
  <c r="AM15" i="14"/>
  <c r="AN15" i="14" s="1"/>
  <c r="AJ15" i="14"/>
  <c r="AK15" i="14" s="1"/>
  <c r="AA18" i="13"/>
  <c r="O19" i="13"/>
  <c r="O31" i="13" s="1"/>
  <c r="Y25" i="15"/>
  <c r="Y30" i="15" s="1"/>
  <c r="AI25" i="15"/>
  <c r="W30" i="15"/>
  <c r="Y41" i="14"/>
  <c r="AH41" i="14"/>
  <c r="AF43" i="25"/>
  <c r="AE44" i="25"/>
  <c r="AF44" i="25" s="1"/>
  <c r="AE24" i="25"/>
  <c r="AF24" i="25" s="1"/>
  <c r="W42" i="20"/>
  <c r="O44" i="20"/>
  <c r="Z39" i="20"/>
  <c r="AO39" i="15"/>
  <c r="AK40" i="20"/>
  <c r="AL40" i="20" s="1"/>
  <c r="AN40" i="20"/>
  <c r="AO40" i="20" s="1"/>
  <c r="AC39" i="25"/>
  <c r="AD39" i="25" s="1"/>
  <c r="AD34" i="25"/>
  <c r="E31" i="2"/>
  <c r="E39" i="2" s="1"/>
  <c r="AH23" i="14"/>
  <c r="Y23" i="14"/>
  <c r="Z23" i="14" s="1"/>
  <c r="AN27" i="15"/>
  <c r="AO27" i="15" s="1"/>
  <c r="AK27" i="15"/>
  <c r="AN18" i="15"/>
  <c r="AO18" i="15" s="1"/>
  <c r="AK18" i="15"/>
  <c r="AC24" i="25"/>
  <c r="AD24" i="25" s="1"/>
  <c r="AD20" i="25"/>
  <c r="AK35" i="15"/>
  <c r="AN35" i="15"/>
  <c r="AK23" i="15"/>
  <c r="AN23" i="15"/>
  <c r="AO23" i="15" s="1"/>
  <c r="Z14" i="14"/>
  <c r="AD43" i="25"/>
  <c r="AC44" i="25"/>
  <c r="AD44" i="25" s="1"/>
  <c r="W34" i="15"/>
  <c r="O36" i="15"/>
  <c r="W34" i="20"/>
  <c r="O36" i="20"/>
  <c r="Y24" i="20"/>
  <c r="Z24" i="20" s="1"/>
  <c r="Z20" i="20"/>
  <c r="AN41" i="20"/>
  <c r="AO41" i="20" s="1"/>
  <c r="AK41" i="20"/>
  <c r="AL41" i="20" s="1"/>
  <c r="W22" i="15"/>
  <c r="O24" i="15"/>
  <c r="O31" i="15" s="1"/>
  <c r="AN15" i="15"/>
  <c r="AK15" i="15"/>
  <c r="W25" i="14"/>
  <c r="O30" i="14"/>
  <c r="AA52" i="25"/>
  <c r="AA48" i="25"/>
  <c r="Y28" i="20"/>
  <c r="Z28" i="20" s="1"/>
  <c r="AI28" i="20"/>
  <c r="W40" i="15"/>
  <c r="O44" i="15"/>
  <c r="AA43" i="13"/>
  <c r="O44" i="13"/>
  <c r="AK41" i="15"/>
  <c r="AN41" i="15"/>
  <c r="AO41" i="15" s="1"/>
  <c r="AM21" i="14"/>
  <c r="AN21" i="14" s="1"/>
  <c r="AJ21" i="14"/>
  <c r="AK21" i="14" s="1"/>
  <c r="AE19" i="25"/>
  <c r="Z31" i="25"/>
  <c r="Z40" i="25" s="1"/>
  <c r="AA31" i="25"/>
  <c r="AA40" i="25" s="1"/>
  <c r="Z31" i="15"/>
  <c r="B45" i="15"/>
  <c r="K27" i="2"/>
  <c r="K30" i="2" s="1"/>
  <c r="K31" i="2" s="1"/>
  <c r="K39" i="2" s="1"/>
  <c r="K42" i="2" s="1"/>
  <c r="AJ18" i="14"/>
  <c r="AK18" i="14" s="1"/>
  <c r="AM18" i="14"/>
  <c r="AN18" i="14" s="1"/>
  <c r="O46" i="15"/>
  <c r="O24" i="14"/>
  <c r="O31" i="14" s="1"/>
  <c r="W20" i="14"/>
  <c r="Y17" i="14"/>
  <c r="Z17" i="14" s="1"/>
  <c r="AH17" i="14"/>
  <c r="W19" i="14"/>
  <c r="AM14" i="14"/>
  <c r="AJ14" i="14"/>
  <c r="AK35" i="20"/>
  <c r="AN35" i="20"/>
  <c r="J19" i="25"/>
  <c r="J31" i="25" s="1"/>
  <c r="J40" i="25" s="1"/>
  <c r="O14" i="25"/>
  <c r="O19" i="25" s="1"/>
  <c r="O31" i="25" s="1"/>
  <c r="O40" i="25" s="1"/>
  <c r="AN39" i="20"/>
  <c r="AK39" i="20"/>
  <c r="AL20" i="20"/>
  <c r="AF19" i="25"/>
  <c r="AD19" i="25"/>
  <c r="AK20" i="15" l="1"/>
  <c r="AN20" i="15"/>
  <c r="AO20" i="15" s="1"/>
  <c r="AM35" i="14"/>
  <c r="AJ35" i="14"/>
  <c r="AI14" i="15"/>
  <c r="Y14" i="15"/>
  <c r="Y19" i="15" s="1"/>
  <c r="W19" i="15"/>
  <c r="AJ16" i="14"/>
  <c r="AK16" i="14" s="1"/>
  <c r="AM16" i="14"/>
  <c r="AN16" i="14" s="1"/>
  <c r="AK21" i="20"/>
  <c r="AN21" i="20"/>
  <c r="AI24" i="20"/>
  <c r="AH19" i="14"/>
  <c r="N36" i="13"/>
  <c r="N45" i="13" s="1"/>
  <c r="O46" i="13" s="1"/>
  <c r="O47" i="13" s="1"/>
  <c r="O34" i="13"/>
  <c r="AK42" i="15"/>
  <c r="AN42" i="15"/>
  <c r="AO42" i="15" s="1"/>
  <c r="AK16" i="20"/>
  <c r="AN16" i="20"/>
  <c r="AO16" i="20" s="1"/>
  <c r="AI19" i="20"/>
  <c r="AN29" i="20"/>
  <c r="AO29" i="20" s="1"/>
  <c r="AK29" i="20"/>
  <c r="AL29" i="20" s="1"/>
  <c r="AM26" i="14"/>
  <c r="AN26" i="14" s="1"/>
  <c r="AJ26" i="14"/>
  <c r="AK26" i="14" s="1"/>
  <c r="AO14" i="20"/>
  <c r="AM42" i="14"/>
  <c r="AN42" i="14" s="1"/>
  <c r="AJ42" i="14"/>
  <c r="AK42" i="14" s="1"/>
  <c r="F37" i="5"/>
  <c r="K37" i="5" s="1"/>
  <c r="F39" i="5"/>
  <c r="K39" i="5" s="1"/>
  <c r="F35" i="5"/>
  <c r="F31" i="5"/>
  <c r="F36" i="5"/>
  <c r="K36" i="5" s="1"/>
  <c r="AN28" i="15"/>
  <c r="AO28" i="15" s="1"/>
  <c r="AK28" i="15"/>
  <c r="AN17" i="20"/>
  <c r="AO17" i="20" s="1"/>
  <c r="AK17" i="20"/>
  <c r="AL17" i="20" s="1"/>
  <c r="Z16" i="20"/>
  <c r="Y19" i="20"/>
  <c r="Z19" i="20" s="1"/>
  <c r="AJ28" i="14"/>
  <c r="AK28" i="14" s="1"/>
  <c r="AM28" i="14"/>
  <c r="AN28" i="14" s="1"/>
  <c r="AK26" i="20"/>
  <c r="AL26" i="20" s="1"/>
  <c r="AN26" i="20"/>
  <c r="AO26" i="20" s="1"/>
  <c r="O45" i="15"/>
  <c r="O31" i="20"/>
  <c r="O45" i="20" s="1"/>
  <c r="AH24" i="17"/>
  <c r="AM40" i="14"/>
  <c r="AN40" i="14" s="1"/>
  <c r="AJ40" i="14"/>
  <c r="AK40" i="14" s="1"/>
  <c r="AG20" i="17"/>
  <c r="AF24" i="17"/>
  <c r="AG24" i="17" s="1"/>
  <c r="N36" i="14"/>
  <c r="N45" i="14" s="1"/>
  <c r="O46" i="14" s="1"/>
  <c r="O47" i="14" s="1"/>
  <c r="O34" i="14"/>
  <c r="N44" i="17"/>
  <c r="N40" i="17" s="1"/>
  <c r="O45" i="17" s="1"/>
  <c r="O46" i="17" s="1"/>
  <c r="O43" i="17"/>
  <c r="O44" i="17" s="1"/>
  <c r="O40" i="17" s="1"/>
  <c r="AD49" i="17"/>
  <c r="AD50" i="17" s="1"/>
  <c r="AD45" i="17"/>
  <c r="AD46" i="17" s="1"/>
  <c r="AK14" i="14"/>
  <c r="AC43" i="13"/>
  <c r="AA44" i="13"/>
  <c r="AH44" i="14"/>
  <c r="AJ41" i="14"/>
  <c r="AM41" i="14"/>
  <c r="J45" i="25"/>
  <c r="J46" i="25" s="1"/>
  <c r="O45" i="25"/>
  <c r="O46" i="25" s="1"/>
  <c r="AN14" i="14"/>
  <c r="AM17" i="14"/>
  <c r="AN17" i="14" s="1"/>
  <c r="AJ17" i="14"/>
  <c r="AK17" i="14" s="1"/>
  <c r="AH20" i="14"/>
  <c r="Y20" i="14"/>
  <c r="W24" i="14"/>
  <c r="AA49" i="25"/>
  <c r="AA50" i="25" s="1"/>
  <c r="AA45" i="25"/>
  <c r="AA46" i="25" s="1"/>
  <c r="AO15" i="15"/>
  <c r="AM23" i="14"/>
  <c r="AN23" i="14" s="1"/>
  <c r="AJ23" i="14"/>
  <c r="AK23" i="14" s="1"/>
  <c r="Y42" i="20"/>
  <c r="AI42" i="20"/>
  <c r="W44" i="20"/>
  <c r="Z41" i="14"/>
  <c r="Y44" i="14"/>
  <c r="Z44" i="14" s="1"/>
  <c r="AD20" i="13"/>
  <c r="AC24" i="13"/>
  <c r="AD24" i="13" s="1"/>
  <c r="AG19" i="17"/>
  <c r="AK25" i="15"/>
  <c r="AK30" i="15" s="1"/>
  <c r="AN25" i="15"/>
  <c r="AI30" i="15"/>
  <c r="AI40" i="15"/>
  <c r="Y40" i="15"/>
  <c r="Y44" i="15" s="1"/>
  <c r="W44" i="15"/>
  <c r="AI34" i="20"/>
  <c r="Y34" i="20"/>
  <c r="W36" i="20"/>
  <c r="G37" i="5"/>
  <c r="G35" i="5"/>
  <c r="G39" i="5"/>
  <c r="G36" i="5"/>
  <c r="AC18" i="13"/>
  <c r="AA19" i="13"/>
  <c r="AA31" i="13" s="1"/>
  <c r="AF25" i="25"/>
  <c r="AE30" i="25"/>
  <c r="AO39" i="20"/>
  <c r="W31" i="14"/>
  <c r="W52" i="15"/>
  <c r="W47" i="15"/>
  <c r="O47" i="15"/>
  <c r="W56" i="15"/>
  <c r="Z45" i="15"/>
  <c r="D46" i="15"/>
  <c r="D47" i="15" s="1"/>
  <c r="AL45" i="15"/>
  <c r="AN28" i="20"/>
  <c r="AO28" i="20" s="1"/>
  <c r="AK28" i="20"/>
  <c r="AL28" i="20" s="1"/>
  <c r="W30" i="14"/>
  <c r="Y25" i="14"/>
  <c r="AH25" i="14"/>
  <c r="AI22" i="15"/>
  <c r="Y22" i="15"/>
  <c r="Y24" i="15" s="1"/>
  <c r="W24" i="15"/>
  <c r="AI34" i="15"/>
  <c r="W36" i="15"/>
  <c r="Y34" i="15"/>
  <c r="Y36" i="15" s="1"/>
  <c r="Y19" i="14"/>
  <c r="AC30" i="25"/>
  <c r="AD25" i="25"/>
  <c r="AI27" i="20"/>
  <c r="W30" i="20"/>
  <c r="Y27" i="20"/>
  <c r="AF31" i="17" l="1"/>
  <c r="AF40" i="17" s="1"/>
  <c r="AG40" i="17" s="1"/>
  <c r="AL16" i="20"/>
  <c r="AK19" i="20"/>
  <c r="AL19" i="20" s="1"/>
  <c r="AO21" i="20"/>
  <c r="AN24" i="20"/>
  <c r="AO24" i="20" s="1"/>
  <c r="AN19" i="20"/>
  <c r="AO19" i="20" s="1"/>
  <c r="AL21" i="20"/>
  <c r="AK24" i="20"/>
  <c r="AL24" i="20" s="1"/>
  <c r="Y31" i="15"/>
  <c r="Y45" i="15" s="1"/>
  <c r="F40" i="5"/>
  <c r="K35" i="5"/>
  <c r="K40" i="5" s="1"/>
  <c r="W34" i="14"/>
  <c r="O36" i="14"/>
  <c r="O45" i="14" s="1"/>
  <c r="K31" i="5"/>
  <c r="F32" i="5"/>
  <c r="F33" i="5" s="1"/>
  <c r="AI24" i="17"/>
  <c r="AH31" i="17"/>
  <c r="O36" i="13"/>
  <c r="O45" i="13" s="1"/>
  <c r="AA34" i="13"/>
  <c r="AN14" i="15"/>
  <c r="AK14" i="15"/>
  <c r="AK19" i="15" s="1"/>
  <c r="AI19" i="15"/>
  <c r="AK27" i="20"/>
  <c r="AN27" i="20"/>
  <c r="AI30" i="20"/>
  <c r="AI31" i="20" s="1"/>
  <c r="Z25" i="14"/>
  <c r="Y30" i="14"/>
  <c r="Z30" i="14" s="1"/>
  <c r="AK40" i="15"/>
  <c r="AK44" i="15" s="1"/>
  <c r="AN40" i="15"/>
  <c r="AI44" i="15"/>
  <c r="Z20" i="14"/>
  <c r="Y24" i="14"/>
  <c r="Z24" i="14" s="1"/>
  <c r="AN34" i="15"/>
  <c r="AI36" i="15"/>
  <c r="AK34" i="15"/>
  <c r="AK36" i="15" s="1"/>
  <c r="Z27" i="20"/>
  <c r="Y30" i="20"/>
  <c r="W31" i="15"/>
  <c r="AJ25" i="14"/>
  <c r="AH30" i="14"/>
  <c r="AM25" i="14"/>
  <c r="AD18" i="13"/>
  <c r="AC19" i="13"/>
  <c r="AH24" i="14"/>
  <c r="AM20" i="14"/>
  <c r="AJ20" i="14"/>
  <c r="AM19" i="14"/>
  <c r="AN19" i="14" s="1"/>
  <c r="AM44" i="14"/>
  <c r="AN41" i="14"/>
  <c r="AD43" i="13"/>
  <c r="AC44" i="13"/>
  <c r="AD44" i="13" s="1"/>
  <c r="AN34" i="20"/>
  <c r="AK34" i="20"/>
  <c r="AI36" i="20"/>
  <c r="AN30" i="15"/>
  <c r="AO25" i="15"/>
  <c r="Z42" i="20"/>
  <c r="Y44" i="20"/>
  <c r="Z44" i="20" s="1"/>
  <c r="Y31" i="14"/>
  <c r="Z19" i="14"/>
  <c r="AN22" i="15"/>
  <c r="AK22" i="15"/>
  <c r="AK24" i="15" s="1"/>
  <c r="AK31" i="15" s="1"/>
  <c r="AI24" i="15"/>
  <c r="AI31" i="15" s="1"/>
  <c r="W31" i="20"/>
  <c r="AD30" i="25"/>
  <c r="AC31" i="25"/>
  <c r="AF30" i="25"/>
  <c r="AE31" i="25"/>
  <c r="G40" i="5"/>
  <c r="Z34" i="20"/>
  <c r="Y36" i="20"/>
  <c r="Z36" i="20" s="1"/>
  <c r="AN42" i="20"/>
  <c r="AK42" i="20"/>
  <c r="AI44" i="20"/>
  <c r="AI45" i="20" s="1"/>
  <c r="AJ44" i="14"/>
  <c r="AK41" i="14"/>
  <c r="AJ19" i="14"/>
  <c r="AK19" i="14" s="1"/>
  <c r="AG31" i="17" l="1"/>
  <c r="AC34" i="13"/>
  <c r="AA36" i="13"/>
  <c r="AA45" i="13" s="1"/>
  <c r="AO14" i="15"/>
  <c r="AN19" i="15"/>
  <c r="AO19" i="15" s="1"/>
  <c r="AH34" i="14"/>
  <c r="W36" i="14"/>
  <c r="W45" i="14" s="1"/>
  <c r="Y34" i="14"/>
  <c r="AI31" i="17"/>
  <c r="AH40" i="17"/>
  <c r="AI40" i="17" s="1"/>
  <c r="F41" i="5"/>
  <c r="AC40" i="25"/>
  <c r="AD40" i="25" s="1"/>
  <c r="AD31" i="25"/>
  <c r="AN44" i="14"/>
  <c r="W45" i="15"/>
  <c r="AM30" i="14"/>
  <c r="AN25" i="14"/>
  <c r="AN36" i="15"/>
  <c r="AO36" i="15" s="1"/>
  <c r="AO34" i="15"/>
  <c r="AI45" i="15"/>
  <c r="AI46" i="15" s="1"/>
  <c r="AI47" i="15" s="1"/>
  <c r="W46" i="14"/>
  <c r="W47" i="14" s="1"/>
  <c r="W52" i="14"/>
  <c r="W53" i="14" s="1"/>
  <c r="AL42" i="20"/>
  <c r="AK44" i="20"/>
  <c r="AF31" i="25"/>
  <c r="AE40" i="25"/>
  <c r="AF40" i="25" s="1"/>
  <c r="W45" i="20"/>
  <c r="AO30" i="15"/>
  <c r="AK20" i="14"/>
  <c r="AJ24" i="14"/>
  <c r="AK24" i="14" s="1"/>
  <c r="AC31" i="13"/>
  <c r="AD19" i="13"/>
  <c r="AH31" i="14"/>
  <c r="Z30" i="20"/>
  <c r="Y31" i="20"/>
  <c r="AN44" i="15"/>
  <c r="AO40" i="15"/>
  <c r="AN30" i="20"/>
  <c r="AO27" i="20"/>
  <c r="AK36" i="20"/>
  <c r="AL36" i="20" s="1"/>
  <c r="AL34" i="20"/>
  <c r="AI46" i="20"/>
  <c r="AI47" i="20"/>
  <c r="H16" i="5"/>
  <c r="G41" i="5"/>
  <c r="Z31" i="14"/>
  <c r="AN36" i="20"/>
  <c r="AO36" i="20" s="1"/>
  <c r="AO34" i="20"/>
  <c r="AK44" i="14"/>
  <c r="AO42" i="20"/>
  <c r="AN44" i="20"/>
  <c r="AN24" i="15"/>
  <c r="AO24" i="15" s="1"/>
  <c r="AO22" i="15"/>
  <c r="AM24" i="14"/>
  <c r="AN24" i="14" s="1"/>
  <c r="AN20" i="14"/>
  <c r="AK25" i="14"/>
  <c r="AJ30" i="14"/>
  <c r="AK45" i="15"/>
  <c r="AL27" i="20"/>
  <c r="AK30" i="20"/>
  <c r="Y36" i="14" l="1"/>
  <c r="Z34" i="14"/>
  <c r="AA52" i="13"/>
  <c r="AA53" i="13" s="1"/>
  <c r="AA46" i="13"/>
  <c r="AA47" i="13" s="1"/>
  <c r="AM34" i="14"/>
  <c r="AH36" i="14"/>
  <c r="AH45" i="14" s="1"/>
  <c r="AH46" i="14" s="1"/>
  <c r="AH47" i="14" s="1"/>
  <c r="AJ34" i="14"/>
  <c r="AC36" i="13"/>
  <c r="AD36" i="13" s="1"/>
  <c r="AD34" i="13"/>
  <c r="AC45" i="13"/>
  <c r="AD45" i="13" s="1"/>
  <c r="AD31" i="13"/>
  <c r="AM31" i="14"/>
  <c r="AN31" i="14" s="1"/>
  <c r="AN30" i="14"/>
  <c r="AN31" i="20"/>
  <c r="AO31" i="20" s="1"/>
  <c r="AO30" i="20"/>
  <c r="W46" i="15"/>
  <c r="W53" i="15"/>
  <c r="W54" i="15" s="1"/>
  <c r="AK30" i="14"/>
  <c r="AJ31" i="14"/>
  <c r="AO44" i="20"/>
  <c r="AN31" i="15"/>
  <c r="AO31" i="15" s="1"/>
  <c r="Z31" i="20"/>
  <c r="Y45" i="20"/>
  <c r="Z45" i="20" s="1"/>
  <c r="AL30" i="20"/>
  <c r="AK31" i="20"/>
  <c r="AL31" i="20" s="1"/>
  <c r="K16" i="5"/>
  <c r="K20" i="5" s="1"/>
  <c r="K33" i="5" s="1"/>
  <c r="K41" i="5" s="1"/>
  <c r="H20" i="5"/>
  <c r="H33" i="5" s="1"/>
  <c r="H41" i="5" s="1"/>
  <c r="AN45" i="15"/>
  <c r="AO45" i="15" s="1"/>
  <c r="AO44" i="15"/>
  <c r="W53" i="20"/>
  <c r="W54" i="20" s="1"/>
  <c r="W46" i="20"/>
  <c r="W47" i="20" s="1"/>
  <c r="AL44" i="20"/>
  <c r="AK45" i="20"/>
  <c r="AL45" i="20" s="1"/>
  <c r="AK34" i="14" l="1"/>
  <c r="AJ36" i="14"/>
  <c r="AK36" i="14" s="1"/>
  <c r="AN34" i="14"/>
  <c r="AM36" i="14"/>
  <c r="AN45" i="20"/>
  <c r="AO45" i="20" s="1"/>
  <c r="Z36" i="14"/>
  <c r="Y45" i="14"/>
  <c r="Z45" i="14" s="1"/>
  <c r="AK31" i="14"/>
  <c r="AJ45" i="14"/>
  <c r="AK45" i="14" s="1"/>
  <c r="AN36" i="14" l="1"/>
  <c r="AM45" i="14"/>
  <c r="AN45" i="14" s="1"/>
</calcChain>
</file>

<file path=xl/comments1.xml><?xml version="1.0" encoding="utf-8"?>
<comments xmlns="http://schemas.openxmlformats.org/spreadsheetml/2006/main">
  <authors>
    <author>ITCARemote</author>
  </authors>
  <commentList>
    <comment ref="P12" authorId="0">
      <text>
        <r>
          <rPr>
            <b/>
            <sz val="12"/>
            <color indexed="81"/>
            <rFont val="Tahoma"/>
            <family val="2"/>
          </rPr>
          <t>Ft. Yuma
Gila River
This represents FY2018 and 2019 increase in recurring base</t>
        </r>
        <r>
          <rPr>
            <sz val="9"/>
            <color indexed="81"/>
            <rFont val="Tahoma"/>
            <charset val="1"/>
          </rPr>
          <t xml:space="preserve">
</t>
        </r>
      </text>
    </comment>
  </commentList>
</comments>
</file>

<file path=xl/comments2.xml><?xml version="1.0" encoding="utf-8"?>
<comments xmlns="http://schemas.openxmlformats.org/spreadsheetml/2006/main">
  <authors>
    <author>Tracy, Rosetta (IHS/HQ)</author>
  </authors>
  <commentList>
    <comment ref="A2" authorId="0">
      <text>
        <r>
          <rPr>
            <b/>
            <sz val="9"/>
            <color indexed="81"/>
            <rFont val="Tahoma"/>
            <family val="2"/>
          </rPr>
          <t>Tracy, Rosetta (IHS/HQ):</t>
        </r>
        <r>
          <rPr>
            <sz val="9"/>
            <color indexed="81"/>
            <rFont val="Tahoma"/>
            <family val="2"/>
          </rPr>
          <t xml:space="preserve">
% level should be left blank, or with XX</t>
        </r>
      </text>
    </comment>
  </commentList>
</comments>
</file>

<file path=xl/sharedStrings.xml><?xml version="1.0" encoding="utf-8"?>
<sst xmlns="http://schemas.openxmlformats.org/spreadsheetml/2006/main" count="929" uniqueCount="279">
  <si>
    <t>Sub Sub Activity</t>
  </si>
  <si>
    <t xml:space="preserve">Hospitals &amp; Health Clinics </t>
  </si>
  <si>
    <t>Dental Services</t>
  </si>
  <si>
    <t>Mental Health</t>
  </si>
  <si>
    <t>Alcohol &amp; Substance Abuse</t>
  </si>
  <si>
    <t>Contract Health Services</t>
  </si>
  <si>
    <t>Public Health Nursing</t>
  </si>
  <si>
    <t>Health Education</t>
  </si>
  <si>
    <t>Comm. Health Reps</t>
  </si>
  <si>
    <t>Immunization AK</t>
  </si>
  <si>
    <t>Urban Health</t>
  </si>
  <si>
    <t>Indian Health Professions</t>
  </si>
  <si>
    <t>Tribal Management</t>
  </si>
  <si>
    <t>Direct Operations</t>
  </si>
  <si>
    <t>Contract Support Cost</t>
  </si>
  <si>
    <t>Maintenance &amp; Improvement</t>
  </si>
  <si>
    <t>Equipment</t>
  </si>
  <si>
    <t>SERVICES</t>
  </si>
  <si>
    <t>FACILITIES</t>
  </si>
  <si>
    <t xml:space="preserve">    Total, Facilities</t>
  </si>
  <si>
    <t xml:space="preserve">    Total, Services</t>
  </si>
  <si>
    <t xml:space="preserve">    Total, Clinical Services</t>
  </si>
  <si>
    <t xml:space="preserve">    Total, Other Services</t>
  </si>
  <si>
    <t>TOTAL, IHS</t>
  </si>
  <si>
    <t xml:space="preserve">    Total, Preventive Health</t>
  </si>
  <si>
    <t>INDIAN HEALTH SERVICE</t>
  </si>
  <si>
    <t>Pay</t>
  </si>
  <si>
    <t>Subtotal</t>
  </si>
  <si>
    <t>$</t>
  </si>
  <si>
    <t>%</t>
  </si>
  <si>
    <t>Self-Governance</t>
  </si>
  <si>
    <t>Sanitation Facilities Constr.</t>
  </si>
  <si>
    <t>Health Care Fac. Constr.</t>
  </si>
  <si>
    <t>Facil. &amp; Envir. Hlth Supp.</t>
  </si>
  <si>
    <t>Inflation</t>
  </si>
  <si>
    <t>Population</t>
  </si>
  <si>
    <t>Growth</t>
  </si>
  <si>
    <t>$ Change over FY 2010 Pres. Budget</t>
  </si>
  <si>
    <t>% Change over FY 2010 Pres. Budget</t>
  </si>
  <si>
    <t>(Dollars in Thousands)</t>
  </si>
  <si>
    <t>Enacted</t>
  </si>
  <si>
    <t>Federal</t>
  </si>
  <si>
    <t>FY 2012</t>
  </si>
  <si>
    <t>Recomm</t>
  </si>
  <si>
    <t>Services</t>
  </si>
  <si>
    <t>President's</t>
  </si>
  <si>
    <t>Budget</t>
  </si>
  <si>
    <t>National</t>
  </si>
  <si>
    <t>FY 2013</t>
  </si>
  <si>
    <t>Medical</t>
  </si>
  <si>
    <t>$ Change over prior year</t>
  </si>
  <si>
    <t>% Change over prior year</t>
  </si>
  <si>
    <t>Area</t>
  </si>
  <si>
    <t>FY 2014</t>
  </si>
  <si>
    <t>Current</t>
  </si>
  <si>
    <t>FY 2015</t>
  </si>
  <si>
    <t>Program</t>
  </si>
  <si>
    <t>Non-</t>
  </si>
  <si>
    <t>Allocation</t>
  </si>
  <si>
    <r>
      <t>Estimates</t>
    </r>
    <r>
      <rPr>
        <b/>
        <sz val="10"/>
        <rFont val="Times New Roman"/>
        <family val="1"/>
      </rPr>
      <t/>
    </r>
  </si>
  <si>
    <t xml:space="preserve">Tribal </t>
  </si>
  <si>
    <t>CO, CS</t>
  </si>
  <si>
    <t>FY 2013 Budget Request</t>
  </si>
  <si>
    <t>Detail of Changes -- OMBJ</t>
  </si>
  <si>
    <t>FY 2011</t>
  </si>
  <si>
    <t>Non-Med</t>
  </si>
  <si>
    <t>Med</t>
  </si>
  <si>
    <t>Curr Svcs</t>
  </si>
  <si>
    <t>Total</t>
  </si>
  <si>
    <t>Pay Costs</t>
  </si>
  <si>
    <t>Tribal</t>
  </si>
  <si>
    <t>Costs</t>
  </si>
  <si>
    <t>FY 2013 projected numbers are estimates of fully funded amounts.</t>
  </si>
  <si>
    <t xml:space="preserve"> FY 2013 CURRENT SERVICES</t>
  </si>
  <si>
    <t>(Plng Base)</t>
  </si>
  <si>
    <t>FY 2016</t>
  </si>
  <si>
    <t>Binding</t>
  </si>
  <si>
    <t>Obligation</t>
  </si>
  <si>
    <t>Estimates</t>
  </si>
  <si>
    <t>CURRENT SERVICES</t>
  </si>
  <si>
    <t>BINDING OBLIGATIONS</t>
  </si>
  <si>
    <t>Services &amp;</t>
  </si>
  <si>
    <t>Oblig.</t>
  </si>
  <si>
    <t>TOTAL</t>
  </si>
  <si>
    <t>Purchased/Referred Care</t>
  </si>
  <si>
    <t>Level</t>
  </si>
  <si>
    <t>Increases</t>
  </si>
  <si>
    <r>
      <t xml:space="preserve">Current Services </t>
    </r>
    <r>
      <rPr>
        <sz val="12"/>
        <rFont val="Times New Roman"/>
        <family val="1"/>
      </rPr>
      <t>(aka, Fixed Costs)</t>
    </r>
  </si>
  <si>
    <t>Total Amount to meet</t>
  </si>
  <si>
    <t>Left to spread</t>
  </si>
  <si>
    <t>Staffing</t>
  </si>
  <si>
    <t>for New</t>
  </si>
  <si>
    <t>Facilities</t>
  </si>
  <si>
    <t>(if any)</t>
  </si>
  <si>
    <t>Contract</t>
  </si>
  <si>
    <t>Support</t>
  </si>
  <si>
    <t>Healthcare</t>
  </si>
  <si>
    <t>Priority List</t>
  </si>
  <si>
    <t>Need *</t>
  </si>
  <si>
    <t>CONTRACT SUPPORT COSTS</t>
  </si>
  <si>
    <t xml:space="preserve">Comparison </t>
  </si>
  <si>
    <t xml:space="preserve">*FYI, In FY 2018 and beyond, the Administration proposes to reclassify Contract Support Costs as a mandatory, three-year appropriation with sufficent increases year-over-year to fully fund the estimated need. </t>
  </si>
  <si>
    <t>FY 2017</t>
  </si>
  <si>
    <t>__________________________ AREA RECOMMENDATION</t>
  </si>
  <si>
    <t>% x Plng Base =</t>
  </si>
  <si>
    <t>(Recurring)</t>
  </si>
  <si>
    <r>
      <t xml:space="preserve">PROGRAM INCREASES - </t>
    </r>
    <r>
      <rPr>
        <b/>
        <sz val="12"/>
        <color indexed="10"/>
        <rFont val="Times New Roman"/>
        <family val="1"/>
      </rPr>
      <t>NATIONAL</t>
    </r>
    <r>
      <rPr>
        <b/>
        <sz val="12"/>
        <rFont val="Times New Roman"/>
        <family val="1"/>
      </rPr>
      <t xml:space="preserve"> PRIORITIES</t>
    </r>
  </si>
  <si>
    <t>CSC Need</t>
  </si>
  <si>
    <t>CSC New/Expanded</t>
  </si>
  <si>
    <t>Total , Contract Support Costs</t>
  </si>
  <si>
    <t>FY 2020</t>
  </si>
  <si>
    <t>For more details on column headings (A-AD), see FY 2020 Budget Instructions to Areas document (National Guidance for Budget Worksheet).</t>
  </si>
  <si>
    <t xml:space="preserve"> Change over                FY 2016 Enacted</t>
  </si>
  <si>
    <r>
      <t xml:space="preserve">                                                                                                                        FY 2020 </t>
    </r>
    <r>
      <rPr>
        <b/>
        <sz val="14"/>
        <color indexed="10"/>
        <rFont val="Times New Roman"/>
        <family val="1"/>
      </rPr>
      <t>NATIONAL</t>
    </r>
    <r>
      <rPr>
        <b/>
        <sz val="14"/>
        <rFont val="Times New Roman"/>
        <family val="1"/>
      </rPr>
      <t xml:space="preserve"> Budget Worksheet: </t>
    </r>
    <r>
      <rPr>
        <b/>
        <sz val="14"/>
        <color indexed="10"/>
        <rFont val="Times New Roman"/>
        <family val="1"/>
      </rPr>
      <t>+33%</t>
    </r>
    <r>
      <rPr>
        <b/>
        <sz val="14"/>
        <color indexed="10"/>
        <rFont val="Times New Roman"/>
        <family val="1"/>
      </rPr>
      <t xml:space="preserve"> Level</t>
    </r>
  </si>
  <si>
    <t>Delete or hide this column?</t>
  </si>
  <si>
    <t xml:space="preserve">Program </t>
  </si>
  <si>
    <t xml:space="preserve">Increases </t>
  </si>
  <si>
    <t>Change over FY 2016 Enacted</t>
  </si>
  <si>
    <r>
      <t xml:space="preserve">       FY 2020 </t>
    </r>
    <r>
      <rPr>
        <b/>
        <sz val="14"/>
        <color indexed="10"/>
        <rFont val="Times New Roman"/>
        <family val="1"/>
      </rPr>
      <t>NATIONAL</t>
    </r>
    <r>
      <rPr>
        <b/>
        <sz val="14"/>
        <rFont val="Times New Roman"/>
        <family val="1"/>
      </rPr>
      <t xml:space="preserve"> Budget Worksheet: </t>
    </r>
    <r>
      <rPr>
        <b/>
        <sz val="14"/>
        <color indexed="10"/>
        <rFont val="Times New Roman"/>
        <family val="1"/>
      </rPr>
      <t>+33%</t>
    </r>
    <r>
      <rPr>
        <b/>
        <sz val="14"/>
        <color indexed="10"/>
        <rFont val="Times New Roman"/>
        <family val="1"/>
      </rPr>
      <t xml:space="preserve"> Level</t>
    </r>
  </si>
  <si>
    <t>Revised</t>
  </si>
  <si>
    <t>Change over 33% Recomm.</t>
  </si>
  <si>
    <r>
      <t xml:space="preserve">PROGRAM INCREASES - </t>
    </r>
    <r>
      <rPr>
        <b/>
        <sz val="12"/>
        <color indexed="10"/>
        <rFont val="Times New Roman"/>
        <family val="1"/>
      </rPr>
      <t>OVER 33%</t>
    </r>
  </si>
  <si>
    <r>
      <t xml:space="preserve">       FY 2020 </t>
    </r>
    <r>
      <rPr>
        <b/>
        <sz val="14"/>
        <color indexed="10"/>
        <rFont val="Times New Roman"/>
        <family val="1"/>
      </rPr>
      <t>NATIONAL</t>
    </r>
    <r>
      <rPr>
        <b/>
        <sz val="14"/>
        <rFont val="Times New Roman"/>
        <family val="1"/>
      </rPr>
      <t xml:space="preserve"> Budget Worksheet: </t>
    </r>
    <r>
      <rPr>
        <b/>
        <sz val="14"/>
        <color indexed="10"/>
        <rFont val="Times New Roman"/>
        <family val="1"/>
      </rPr>
      <t>+XX%</t>
    </r>
    <r>
      <rPr>
        <b/>
        <sz val="14"/>
        <color indexed="10"/>
        <rFont val="Times New Roman"/>
        <family val="1"/>
      </rPr>
      <t xml:space="preserve"> Level</t>
    </r>
  </si>
  <si>
    <t>Change over xx% Recomm.</t>
  </si>
  <si>
    <t>FY 2018</t>
  </si>
  <si>
    <t>Additional</t>
  </si>
  <si>
    <r>
      <t xml:space="preserve">ADDITIONAL PROGRAM INCREASES - </t>
    </r>
    <r>
      <rPr>
        <b/>
        <sz val="12"/>
        <color indexed="10"/>
        <rFont val="Times New Roman"/>
        <family val="1"/>
      </rPr>
      <t>OVER XX%</t>
    </r>
  </si>
  <si>
    <t xml:space="preserve">FYI, In FY 2018 and beyond, the Administration proposes to reclassify Contract Support Costs as a mandatory, three-year appropriation with sufficent increases year-over-year to fully fund the estimated need. </t>
  </si>
  <si>
    <t>Total Amount to Meet:</t>
  </si>
  <si>
    <t>Left to Spread</t>
  </si>
  <si>
    <t>% x Planning Base =</t>
  </si>
  <si>
    <t>Enacted*</t>
  </si>
  <si>
    <t xml:space="preserve">*The FY 2017 Enacted numbers will be included based on the passage of a FY 2017 appropriations bill. </t>
  </si>
  <si>
    <t xml:space="preserve"> Change over                FY 2017 Enacted</t>
  </si>
  <si>
    <t>Change over FY 2017 Enacted</t>
  </si>
  <si>
    <t>For more details on column headings see FY 2020 Budget Instructions to Areas document (National Guidance for Budget Worksheet).</t>
  </si>
  <si>
    <r>
      <t xml:space="preserve">Current Service estimates as of FY 2017 CJ </t>
    </r>
    <r>
      <rPr>
        <sz val="12"/>
        <rFont val="Times New Roman"/>
        <family val="1"/>
      </rPr>
      <t>(aka, Fixed Costs)</t>
    </r>
  </si>
  <si>
    <t>Congressional</t>
  </si>
  <si>
    <t>Justification</t>
  </si>
  <si>
    <t xml:space="preserve">President's </t>
  </si>
  <si>
    <t>FY 2019</t>
  </si>
  <si>
    <t>Recomm.</t>
  </si>
  <si>
    <t xml:space="preserve">Sub-Sub Activity </t>
  </si>
  <si>
    <t>Hospitals and Health Clinics</t>
  </si>
  <si>
    <t>Description</t>
  </si>
  <si>
    <t>Dental Health</t>
  </si>
  <si>
    <t>Alcohol and Subtance Abuse</t>
  </si>
  <si>
    <t>Comm. Health Representatives</t>
  </si>
  <si>
    <t>Urban Indian Health</t>
  </si>
  <si>
    <t>Tribal Management Grants</t>
  </si>
  <si>
    <t xml:space="preserve">Direct Operations </t>
  </si>
  <si>
    <t>Contract Support Costs</t>
  </si>
  <si>
    <t>Maintenance and Improvement</t>
  </si>
  <si>
    <t xml:space="preserve">Sanitation Facilities Construction </t>
  </si>
  <si>
    <t>Health Care Facilities Construction</t>
  </si>
  <si>
    <t xml:space="preserve">Services </t>
  </si>
  <si>
    <t xml:space="preserve">Preventative Health Services </t>
  </si>
  <si>
    <t xml:space="preserve">Tribally-administered program of AI/AN community members trained in basic disease control and prevention.  These activities include serving as outreach workers with the knowledge and cultural sensitivity to effect change in community acceptance and utilization of health care resources and use community based networks to enhance health promotion/disease prevention. </t>
  </si>
  <si>
    <t>Hepatitis B program continues to monitor hepatitis B and C infection among Alaska Native peoples through outpatient clinics, video-conferences and field clinics.  The Haemophilus Influenzae type b (Hib) Immunization program maintains high vaccine coverage at AK Tribal facilities and provides technical support, prevention materials, and compiles quarterly Immunization reports.</t>
  </si>
  <si>
    <t xml:space="preserve">The Indian Health Service (IHS) Indian Health Professions (IHP) Program manages the Scholarship Program, Extern Program, Loan Repayment Program and health professions training related grants activities for IHS.  These national programs work together to recruit, train, place and retain health care professionals in Indian communities.  </t>
  </si>
  <si>
    <t>Column</t>
  </si>
  <si>
    <t>A</t>
  </si>
  <si>
    <t>B</t>
  </si>
  <si>
    <t>C</t>
  </si>
  <si>
    <t>D</t>
  </si>
  <si>
    <t>I</t>
  </si>
  <si>
    <t>J</t>
  </si>
  <si>
    <t>K</t>
  </si>
  <si>
    <t>L</t>
  </si>
  <si>
    <t>M</t>
  </si>
  <si>
    <t>N</t>
  </si>
  <si>
    <t>O</t>
  </si>
  <si>
    <t>Sub-Sub Activity also known as 'Budget Line Item'</t>
  </si>
  <si>
    <t>E-F</t>
  </si>
  <si>
    <t xml:space="preserve">Pay Costs include estimated increases for Federal Commissioned Officers (CO), Federal Civil Service (CS) employees and Tribal pay costs which are only provided if approved by Congress during the appropriation process of the budget. </t>
  </si>
  <si>
    <t>G-H</t>
  </si>
  <si>
    <t>Inflation (medical &amp; non-medical) to cover the annual cost increase of goods that are needed in providing services.</t>
  </si>
  <si>
    <t>Population Growth Estimate to fund the increased need arising from the anticipated growth in the AI/AN population.  In recent years, the population estimate has been growing at an average rate of 1.8 percent annually.</t>
  </si>
  <si>
    <t>Staffing and Operating Costs for Newly-Constructed Facilities Estimates (Federal, and Joint Ventures w/Tribes) – Funding these requirements allows IHS and Tribes to expand provision of health care in areas where capacity has been expanded to address health care needs.  For the JV projects, the IHS and a Tribe enters into a joint venture agreement whereby the Tribe finances and builds their own health facility and IHS funds the staffing and operating costs upon completion and opening of the project.</t>
  </si>
  <si>
    <t xml:space="preserve">Health Care Facilities Construction (Estimates) – Funds projects that are on the national list of priorities.  The HCFC program is essential to ensure quality of and access to care for the most vulnerable AI/AN population in the U.S.  </t>
  </si>
  <si>
    <t>P-Y</t>
  </si>
  <si>
    <t>Z</t>
  </si>
  <si>
    <t>AA</t>
  </si>
  <si>
    <t>FY 2020 National Recommendations Total: (Sum of Columns D,Z)</t>
  </si>
  <si>
    <r>
      <t>Current Services Subtotal (Estimates): Sum of Columns (</t>
    </r>
    <r>
      <rPr>
        <b/>
        <sz val="11"/>
        <color rgb="FFFF0000"/>
        <rFont val="Times New Roman"/>
        <family val="1"/>
      </rPr>
      <t>E-I</t>
    </r>
    <r>
      <rPr>
        <sz val="11"/>
        <rFont val="Times New Roman"/>
        <family val="1"/>
      </rPr>
      <t>)</t>
    </r>
  </si>
  <si>
    <r>
      <t>Binding Obligations Subtotal (Estimates): Sum of columns (</t>
    </r>
    <r>
      <rPr>
        <b/>
        <sz val="11"/>
        <color rgb="FFFF0000"/>
        <rFont val="Times New Roman"/>
        <family val="1"/>
      </rPr>
      <t>K-M</t>
    </r>
    <r>
      <rPr>
        <sz val="11"/>
        <rFont val="Times New Roman"/>
        <family val="1"/>
      </rPr>
      <t xml:space="preserve">) </t>
    </r>
  </si>
  <si>
    <r>
      <t>Current Services &amp; Binding Obligations Total: Sum of columns (</t>
    </r>
    <r>
      <rPr>
        <b/>
        <sz val="11"/>
        <color rgb="FFFF0000"/>
        <rFont val="Times New Roman"/>
        <family val="1"/>
      </rPr>
      <t>J,N</t>
    </r>
    <r>
      <rPr>
        <sz val="11"/>
        <rFont val="Times New Roman"/>
        <family val="1"/>
      </rPr>
      <t>)</t>
    </r>
  </si>
  <si>
    <r>
      <t xml:space="preserve">Program Increases Subtotal (Sum of Columns </t>
    </r>
    <r>
      <rPr>
        <b/>
        <sz val="11"/>
        <rFont val="Times New Roman"/>
        <family val="1"/>
      </rPr>
      <t>P-Y</t>
    </r>
    <r>
      <rPr>
        <sz val="11"/>
        <rFont val="Times New Roman"/>
        <family val="1"/>
      </rPr>
      <t>)</t>
    </r>
  </si>
  <si>
    <t>AC-AD</t>
  </si>
  <si>
    <t>change over</t>
  </si>
  <si>
    <t>FY 2019 Tribal Recomm.</t>
  </si>
  <si>
    <t>Comparison Columns: FY 2020 Tribal Recommendation vs. FY 2017 Enacted (Planning Base)</t>
  </si>
  <si>
    <t>AE-AF</t>
  </si>
  <si>
    <t>Comparison Columns: FY 2020 Tribal Recommendation vs. FY 2019 Tribal Recommendation</t>
  </si>
  <si>
    <t>PROGRAM INCREASES - NATIONAL PRIORITIES</t>
  </si>
  <si>
    <t>FY 2017 Enacted</t>
  </si>
  <si>
    <t xml:space="preserve">FY 2020 National Budget Worksheet Guidance </t>
  </si>
  <si>
    <t>Budget Line Description</t>
  </si>
  <si>
    <t>Indian Health Service</t>
  </si>
  <si>
    <t xml:space="preserve">Aims to lower the incidence and prevalence of alcohol abuse and alcoholism among AI/AN to a level at or below the general U.S. population through a network of Indian community based emergency, inpatient, and outpatient treatment and rehabilitation services. In addition, supports the efforts of Tribes to develop their programs to cover the entire spectrum of alcohol and substance use disorders, from awareness and identification to recovery.  </t>
  </si>
  <si>
    <t>Funds the maintenance and improvement of IHS and tribal health care facilities.</t>
  </si>
  <si>
    <t>Funds essential sanitation facilities including water supply, sewage, and solid waste disposal facilities to AI/AN homes and communities.</t>
  </si>
  <si>
    <t>Supports personnel who provide facilities and environmental health services throughout the IHS at the IHS Area, district, and service unit levels, and to pay operating costs associated with provision of those services and activities.</t>
  </si>
  <si>
    <t>Funds maintenance and replacement of biomedical equipment at IHS and Tribal health care facilities.</t>
  </si>
  <si>
    <t xml:space="preserve">FY 2019 Tribal Recommendation presented to HHS on March 30, 2017. </t>
  </si>
  <si>
    <r>
      <rPr>
        <sz val="12"/>
        <color theme="1"/>
        <rFont val="Times New Roman"/>
        <family val="1"/>
      </rPr>
      <t>Current Servic</t>
    </r>
    <r>
      <rPr>
        <sz val="12"/>
        <rFont val="Times New Roman"/>
        <family val="1"/>
      </rPr>
      <t xml:space="preserve">e (Fixed Costs) estimates as of FY 2017 CJ </t>
    </r>
  </si>
  <si>
    <t xml:space="preserve">Binding Obligations </t>
  </si>
  <si>
    <t xml:space="preserve">Indian </t>
  </si>
  <si>
    <t>Urban</t>
  </si>
  <si>
    <r>
      <rPr>
        <b/>
        <sz val="11"/>
        <rFont val="Times New Roman"/>
        <family val="1"/>
      </rPr>
      <t>PLANNING BASE-</t>
    </r>
    <r>
      <rPr>
        <sz val="11"/>
        <rFont val="Times New Roman"/>
        <family val="1"/>
      </rPr>
      <t xml:space="preserve"> FY 2017 Enacted numbers: President Requested and Congress appopriated these funds by budget lines for IHS to allocate to the programs. </t>
    </r>
  </si>
  <si>
    <t>Supports the IHS in carrying out its responsibility of providing leadership, oversight, executive direction and administrative support to 12 regional offices serving approximately 2.2 million AI/AN across the United States.</t>
  </si>
  <si>
    <t>Facilities and Enviromental Health Support</t>
  </si>
  <si>
    <t>Funds the construction projects costs of health care facilities and other authorizations like Small Ambulatory where direct health care services will be provided to AI/AN people.</t>
  </si>
  <si>
    <t>*Click on blue Sub Activity &amp; Column headings for a detailed description*</t>
  </si>
  <si>
    <r>
      <rPr>
        <b/>
        <sz val="11"/>
        <rFont val="Times New Roman"/>
        <family val="1"/>
      </rPr>
      <t xml:space="preserve">PROGRAM INCREASES </t>
    </r>
    <r>
      <rPr>
        <sz val="11"/>
        <rFont val="Times New Roman"/>
        <family val="1"/>
      </rPr>
      <t>– When selecting your Budget Priorities, you are prioritizing funds above the planning base, by using a Sub Sub Activity.  If you choose to breakout the dollar amounts among several activities under the chosen Sub Sub activity, please explain in the budget narrative. See tab #4 'EXAMPLE' worksheet.</t>
    </r>
  </si>
  <si>
    <t>Includes inpatient and outpatient service, emergency services, and medical support services including laboratory, pharmacy, nutrition, diagnostic imaging, medical records, physical therapy, etc.  In addition, provides specialized programs for diabetes, maternal and child health, youth services, women's and elders’ health, disease surveillance, and communicable diseases including HIV/AIDS, tuberculosis, and hepatitis.</t>
  </si>
  <si>
    <t>Supports the delivery of dental care through clinic-based and community-based treatment and prevention services.  Evaluates and promotes ways to reduce disparities in oral disease in the AI/AN population including an emphasis on improving access to dental services, early intervention of childhood tooth decay, recognition and early treatment of periodontal (gum) disease, and promotion of topical fluoride and dental sealants applications to prevent tooth decay.  Conducts annual surveillance in the AI/AN population through patient basic screening exams to determine dental disease levels of various age groups within the population.</t>
  </si>
  <si>
    <t>Provides ongoing vital outpatient mental health and related services, crisis triage, case management, community based prevention programming and outreach, and health education activities.  The most common program model is an acute, crisis-oriented outpatient service staffed by one or more mental health professionals.</t>
  </si>
  <si>
    <t xml:space="preserve">Provides population-focused services to promote healthier communities through direct nursing services and home visits (assessment, evaluation, screening, health promotion and/or disease prevention activities) for individuals, families, schools and communities, well-child examinations, maternal-child health care, elder care, and follow-up visits for skilled nursing services.  </t>
  </si>
  <si>
    <t>Promotes and supports activities directed towards promoting healthy lifestyles, community capacity building, and the appropriate use of public health education services targeted to employees, schools, and community health education, community health, and patient education. Assists with the development of patient education codes and protocols to simplify the documentation of patient education services provided by health care providers (paraprofessionals and medical providers).</t>
  </si>
  <si>
    <t>Contract Support Costs Need (Estimates) – Funds the existing shortfall associated with ongoing contracts and compacts with Tribes.  The biggest factors contributing to the increased shortfall are (a) program increases and (b) new and expanded programs assumed by Tribes during the year, therefore the amount is always an estimate.</t>
  </si>
  <si>
    <t xml:space="preserve">FY 2018 President Budget request to Congress for IHS programs. </t>
  </si>
  <si>
    <t>Supports the provision of care in IHS and Tribally-operated facilities with the acquisition of health care and medical services that are otherwise not available. The PRC program purchases medical care and urgent health care services from private, local, and community health care providers that include hospital care, physician services, outpatient services, laboratory, dental, radiology, pharmacy, and transportation services.</t>
  </si>
  <si>
    <t>Supports contracts and grants to 34 urban health programs funded under Title V of the Indian Health Care Improvement Act.  The Urban Indian Health Program funds three types of programs: Outreach and Referral, Limited Ambulatory Care, and Full Ambulatory Care.  These programs offer culturally appropriate services addressing the unique social, cultural, and health needs of AI/ANs residing in urban settings.</t>
  </si>
  <si>
    <t>Assists federally-recognized Tribes and Tribal organizations (T/TO) by developing and strengthening management ability in preparation to assume all or part of existing IHS programs, services, functions, and activities to further develop and improve their management capability. Tribal Management Grants (TMG) are competitive grants available to assist T/TO to establish goals and performance measures; assess current management capacity; analyze programs to determine if management is practicable; and develop infrastructure systems to manage or organize the programs, function, services and activities of the current health programs.</t>
  </si>
  <si>
    <t xml:space="preserve">Health Care </t>
  </si>
  <si>
    <t>Improvement</t>
  </si>
  <si>
    <t>IHP</t>
  </si>
  <si>
    <t>Contract Support Costs are reasonable costs for activities which must be carried out by the Tribal organizations, as contractors, to assure compliance with the terms of the contracts and prudent management.  CSC funds are available for eligible direct and indirect costs, and the IHS is prohibited from duplicating funding by providing CSC funding for costs that are included in the transfer of the program (the “Secretarial” or “106(a)(1)” amount). Direct CSC funding is available for the reasonable, eligible costs incurred for direct program expenses (i.e., workers’ compensation and unemployment insurance paid for IHS-funded employees).  Indirect CSC funding is available for the reasonable, eligible costs incurred by Tribal contractors for additional administrative or related expenses related to the operation of the IHS-funded program.</t>
  </si>
  <si>
    <t xml:space="preserve">Provides oversight of the IHS Tribal Self-Governance Program (TSGP) by providing information, technical assistance, and policy coordination and serves as an advocate for Tribal concerns regarding the delivery of health care. Supported by this budget line, the OTSG functions include:
• Determining eligibility for Tribes to participate in the TSGP based on meeting applicable statutory requirements.
• Participating in nation-to-nation negotiations of ISDEAA Title V compacts and funding agreements. 
• Providing oversight and support of the Agency Lead Negotiators (ALNs) during ISDEAA Title V negotiations.
• Providing resources and technical assistance to Tribes and Tribal Organizations for the implementation of Tribal Self-Governance
• Administers grants by funding Planning and Negotiation Cooperative Agreements for Tribes entering Self-Governance or seeking to expand the programs, services, functions or activities under an ISDEAA Title V compact and funding agreement.
• Funding the Government Performance and Results Act pilot projects to assist Tribally-operated health programs enhance performance reporting and quality improvement.
• Coordinating IHS Tribal Consultation activities, including Tribal Delegation Meetings.
• Developing and recommending policies, administrative procedures, and guidelines for the IHS TSGP and advising the IHS Director on TSGP actions and activities.
• Support an IHS Tribal Self-Governance Advisory Committee (TSGAC) that meets quarterly.
• Arranging national Tribal Self-Governance meetings, including an annual conference in partnership with the Department of the Interior (DOI), to promote the IHS TSGP.
• Developing, publishing, and presenting information related to the IHS TSGP to Tribes, Tribal Organizations, state and local government, and others, including TSGP training.
</t>
  </si>
  <si>
    <t>Not Included in +36%</t>
  </si>
  <si>
    <r>
      <t xml:space="preserve">       FY 2020 </t>
    </r>
    <r>
      <rPr>
        <b/>
        <sz val="14"/>
        <color indexed="10"/>
        <rFont val="Times New Roman"/>
        <family val="1"/>
      </rPr>
      <t>NATIONAL</t>
    </r>
    <r>
      <rPr>
        <b/>
        <sz val="14"/>
        <rFont val="Times New Roman"/>
        <family val="1"/>
      </rPr>
      <t xml:space="preserve"> Budget Worksheet: </t>
    </r>
    <r>
      <rPr>
        <b/>
        <sz val="14"/>
        <color indexed="10"/>
        <rFont val="Times New Roman"/>
        <family val="1"/>
      </rPr>
      <t>+36% Level</t>
    </r>
  </si>
  <si>
    <r>
      <rPr>
        <b/>
        <sz val="14"/>
        <color theme="1"/>
        <rFont val="Times New Roman"/>
        <family val="1"/>
      </rPr>
      <t>Information Purposes only:</t>
    </r>
    <r>
      <rPr>
        <b/>
        <sz val="14"/>
        <color rgb="FFFF0000"/>
        <rFont val="Times New Roman"/>
        <family val="1"/>
      </rPr>
      <t xml:space="preserve"> NOT </t>
    </r>
    <r>
      <rPr>
        <b/>
        <sz val="14"/>
        <color theme="1"/>
        <rFont val="Times New Roman"/>
        <family val="1"/>
      </rPr>
      <t>included in 36 % level</t>
    </r>
  </si>
  <si>
    <t>36% x Planning Base =</t>
  </si>
  <si>
    <r>
      <rPr>
        <b/>
        <sz val="14"/>
        <color theme="1"/>
        <rFont val="Times New Roman"/>
        <family val="1"/>
      </rPr>
      <t>Information Purposes only:</t>
    </r>
    <r>
      <rPr>
        <b/>
        <sz val="14"/>
        <color rgb="FFFF0000"/>
        <rFont val="Times New Roman"/>
        <family val="1"/>
      </rPr>
      <t xml:space="preserve"> NOT </t>
    </r>
    <r>
      <rPr>
        <b/>
        <sz val="14"/>
        <color theme="1"/>
        <rFont val="Times New Roman"/>
        <family val="1"/>
      </rPr>
      <t>included in +36% level</t>
    </r>
  </si>
  <si>
    <t>Dental</t>
  </si>
  <si>
    <t>PHOENIX AREA RECOMMENDATION</t>
  </si>
  <si>
    <t>Exploratory/Feasibility Grants for Joint Venture Small Abulatory Projects</t>
  </si>
  <si>
    <t>CHR</t>
  </si>
  <si>
    <t>New Staffing for New Facilties $50m</t>
  </si>
  <si>
    <t>Behavioral Health (Mental Health, Alcohol, Social Services) - Psychiatric Services</t>
  </si>
  <si>
    <t>Full Funding</t>
  </si>
  <si>
    <t>Multiple Year Appropriation</t>
  </si>
  <si>
    <t>Facilties</t>
  </si>
  <si>
    <t>Discretionary move to Mandatory funding</t>
  </si>
  <si>
    <t>Waivers (VA Authorities)</t>
  </si>
  <si>
    <t>Loan Forgiveness - Indian Health Professions</t>
  </si>
  <si>
    <t>Access to Care - Equity of Care</t>
  </si>
  <si>
    <t xml:space="preserve">Coordination of Care </t>
  </si>
  <si>
    <t>SDPI- make permanent</t>
  </si>
  <si>
    <t>Health Education (Prevention)</t>
  </si>
  <si>
    <t>Traditional Medicine - Healers</t>
  </si>
  <si>
    <t>Maintenance &amp; Repair</t>
  </si>
  <si>
    <t>RPMS</t>
  </si>
  <si>
    <t>EMS, remove CAP rates, Transportation Svcs</t>
  </si>
  <si>
    <t>CHSDA/PRC</t>
  </si>
  <si>
    <t>Health Professions Education</t>
  </si>
  <si>
    <t>Virgil Johnson</t>
  </si>
  <si>
    <t>Opiod Specialized High risk/Infant Care</t>
  </si>
  <si>
    <t>Spread Increase across all budget lines</t>
  </si>
  <si>
    <t>Increase from FY2019 Budget Formulation</t>
  </si>
  <si>
    <t>Overall Increase in Urban</t>
  </si>
  <si>
    <t>Overall Increase in Sanitation</t>
  </si>
  <si>
    <t xml:space="preserve">Facility Approp Information Package bring Maintenance to Need </t>
  </si>
  <si>
    <t>New Facility Staffing (Red Hawk) Gila River and Ft. Yuma SU</t>
  </si>
  <si>
    <t>Increases based on need of current new and replace</t>
  </si>
  <si>
    <t>$25M Small Ambulatory/Joint Venture Projects</t>
  </si>
  <si>
    <t>Add $5m Opiods to FY2019 Recommedation</t>
  </si>
  <si>
    <t xml:space="preserve">Nominations Phoenix Area Representatives: </t>
  </si>
  <si>
    <t>Amber Torres - Selected</t>
  </si>
  <si>
    <t>Rosemary Sullivan - Selected</t>
  </si>
  <si>
    <t xml:space="preserve">Angie Wilson </t>
  </si>
  <si>
    <t>Increase EMS/Trans (Remove Medicaid capped rates)</t>
  </si>
  <si>
    <t>Increase Loan Repayment Incentives</t>
  </si>
  <si>
    <t># Concerns</t>
  </si>
  <si>
    <t>Rocky Moutain Spotted Fever (RMSF)</t>
  </si>
  <si>
    <t>Hot Topics:</t>
  </si>
  <si>
    <t>Update clinical and administrative GS levels to improve salaries to compete with VA (Recruitment incentive)</t>
  </si>
  <si>
    <t>Rotate available funding to IHS regions to address Emergency Issues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</si>
</sst>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0_);[Red]\(0\)"/>
    <numFmt numFmtId="167" formatCode="#,###"/>
    <numFmt numFmtId="168" formatCode="#,##0.000_);[Red]\(#,##0.000\)"/>
    <numFmt numFmtId="169" formatCode="_(* #,##0.0_);_(* \(#,##0.0\);_(* &quot;-&quot;??_);_(@_)"/>
    <numFmt numFmtId="170" formatCode="_(&quot;$&quot;* #,##0_);_(&quot;$&quot;* \(#,##0\);_(&quot;$&quot;* &quot;-&quot;??_);_(@_)"/>
  </numFmts>
  <fonts count="74" x14ac:knownFonts="1">
    <font>
      <sz val="10"/>
      <name val="Arial"/>
    </font>
    <font>
      <sz val="10"/>
      <name val="Arial"/>
      <family val="2"/>
    </font>
    <font>
      <sz val="12"/>
      <name val="Arial Narrow"/>
      <family val="2"/>
    </font>
    <font>
      <sz val="10"/>
      <name val="Arial Narrow"/>
      <family val="2"/>
    </font>
    <font>
      <sz val="10"/>
      <name val="Times New Roman"/>
      <family val="1"/>
    </font>
    <font>
      <sz val="12"/>
      <name val="Times New Roman"/>
      <family val="1"/>
    </font>
    <font>
      <b/>
      <sz val="12"/>
      <name val="Times New Roman"/>
      <family val="1"/>
    </font>
    <font>
      <b/>
      <sz val="14"/>
      <name val="Times New Roman"/>
      <family val="1"/>
    </font>
    <font>
      <b/>
      <sz val="12"/>
      <name val="Arial Narrow"/>
      <family val="2"/>
    </font>
    <font>
      <sz val="12"/>
      <name val="Arial"/>
      <family val="2"/>
    </font>
    <font>
      <b/>
      <sz val="10"/>
      <name val="Times New Roman"/>
      <family val="1"/>
    </font>
    <font>
      <sz val="11"/>
      <name val="Arial Narrow"/>
      <family val="2"/>
    </font>
    <font>
      <b/>
      <sz val="10"/>
      <name val="Arial"/>
      <family val="2"/>
    </font>
    <font>
      <sz val="8"/>
      <name val="Times New Roman"/>
      <family val="1"/>
    </font>
    <font>
      <sz val="11"/>
      <name val="Arial"/>
      <family val="2"/>
    </font>
    <font>
      <sz val="10"/>
      <color indexed="10"/>
      <name val="Times New Roman"/>
      <family val="1"/>
    </font>
    <font>
      <sz val="10"/>
      <name val="Arial"/>
      <family val="2"/>
    </font>
    <font>
      <b/>
      <sz val="12"/>
      <color indexed="10"/>
      <name val="Times New Roman"/>
      <family val="1"/>
    </font>
    <font>
      <sz val="14"/>
      <name val="Times New Roman"/>
      <family val="1"/>
    </font>
    <font>
      <sz val="12"/>
      <color indexed="10"/>
      <name val="Arial Narrow"/>
      <family val="2"/>
    </font>
    <font>
      <b/>
      <sz val="12"/>
      <color indexed="56"/>
      <name val="Arial Narrow"/>
      <family val="2"/>
    </font>
    <font>
      <sz val="12"/>
      <color indexed="56"/>
      <name val="Arial Narrow"/>
      <family val="2"/>
    </font>
    <font>
      <sz val="12"/>
      <name val="Arial"/>
      <family val="2"/>
    </font>
    <font>
      <b/>
      <sz val="12"/>
      <color indexed="10"/>
      <name val="Arial Narrow"/>
      <family val="2"/>
    </font>
    <font>
      <sz val="11"/>
      <name val="Times New Roman"/>
      <family val="1"/>
    </font>
    <font>
      <sz val="14"/>
      <name val="Arial"/>
      <family val="2"/>
    </font>
    <font>
      <b/>
      <sz val="14"/>
      <name val="Arial"/>
      <family val="2"/>
    </font>
    <font>
      <i/>
      <sz val="12"/>
      <name val="Arial Narrow"/>
      <family val="2"/>
    </font>
    <font>
      <i/>
      <sz val="11"/>
      <name val="Arial"/>
      <family val="2"/>
    </font>
    <font>
      <b/>
      <sz val="10"/>
      <color indexed="10"/>
      <name val="Times New Roman"/>
      <family val="1"/>
    </font>
    <font>
      <sz val="9"/>
      <name val="Times New Roman"/>
      <family val="1"/>
    </font>
    <font>
      <b/>
      <sz val="14"/>
      <color indexed="10"/>
      <name val="Times New Roman"/>
      <family val="1"/>
    </font>
    <font>
      <i/>
      <sz val="11"/>
      <name val="Arial Narrow"/>
      <family val="2"/>
    </font>
    <font>
      <b/>
      <sz val="14"/>
      <name val="Arial Narrow"/>
      <family val="2"/>
    </font>
    <font>
      <sz val="10"/>
      <name val="Arial"/>
      <family val="2"/>
    </font>
    <font>
      <u/>
      <sz val="11"/>
      <name val="Arial Narrow"/>
      <family val="2"/>
    </font>
    <font>
      <sz val="8"/>
      <name val="Arial Narrow"/>
      <family val="2"/>
    </font>
    <font>
      <b/>
      <sz val="11"/>
      <name val="Times New Roman"/>
      <family val="1"/>
    </font>
    <font>
      <sz val="10"/>
      <name val="Arial"/>
      <family val="2"/>
    </font>
    <font>
      <sz val="9"/>
      <color indexed="81"/>
      <name val="Tahoma"/>
      <family val="2"/>
    </font>
    <font>
      <b/>
      <sz val="9"/>
      <color indexed="81"/>
      <name val="Tahoma"/>
      <family val="2"/>
    </font>
    <font>
      <sz val="12"/>
      <color rgb="FFFF0000"/>
      <name val="Arial Narrow"/>
      <family val="2"/>
    </font>
    <font>
      <b/>
      <sz val="14"/>
      <color rgb="FFFF0000"/>
      <name val="Times New Roman"/>
      <family val="1"/>
    </font>
    <font>
      <b/>
      <sz val="14"/>
      <color rgb="FF00B050"/>
      <name val="Arial"/>
      <family val="2"/>
    </font>
    <font>
      <b/>
      <sz val="12"/>
      <color rgb="FFFF0000"/>
      <name val="Arial"/>
      <family val="2"/>
    </font>
    <font>
      <b/>
      <sz val="12"/>
      <color theme="3"/>
      <name val="Arial Narrow"/>
      <family val="2"/>
    </font>
    <font>
      <b/>
      <sz val="10"/>
      <color rgb="FFFF0000"/>
      <name val="Times New Roman"/>
      <family val="1"/>
    </font>
    <font>
      <sz val="10"/>
      <color rgb="FFFF0000"/>
      <name val="Times New Roman"/>
      <family val="1"/>
    </font>
    <font>
      <sz val="10"/>
      <color rgb="FFFF0000"/>
      <name val="Arial"/>
      <family val="2"/>
    </font>
    <font>
      <sz val="10"/>
      <color rgb="FFFF0000"/>
      <name val="Arial Narrow"/>
      <family val="2"/>
    </font>
    <font>
      <b/>
      <sz val="12"/>
      <color rgb="FFFF0000"/>
      <name val="Times New Roman"/>
      <family val="1"/>
    </font>
    <font>
      <u/>
      <sz val="10"/>
      <color theme="10"/>
      <name val="Arial"/>
      <family val="2"/>
    </font>
    <font>
      <b/>
      <sz val="12"/>
      <name val="Arial"/>
      <family val="2"/>
    </font>
    <font>
      <u/>
      <sz val="12"/>
      <color theme="10"/>
      <name val="Times New Roman"/>
      <family val="1"/>
    </font>
    <font>
      <b/>
      <sz val="11"/>
      <color rgb="FFFF0000"/>
      <name val="Times New Roman"/>
      <family val="1"/>
    </font>
    <font>
      <b/>
      <sz val="10"/>
      <name val="Arial Narrow"/>
      <family val="2"/>
    </font>
    <font>
      <b/>
      <sz val="11"/>
      <name val="Arial Narrow"/>
      <family val="2"/>
    </font>
    <font>
      <sz val="12"/>
      <color theme="10"/>
      <name val="Times New Roman"/>
      <family val="1"/>
    </font>
    <font>
      <sz val="12"/>
      <color rgb="FF0000FF"/>
      <name val="Times New Roman"/>
      <family val="1"/>
    </font>
    <font>
      <b/>
      <sz val="12"/>
      <color rgb="FF0000FF"/>
      <name val="Times New Roman"/>
      <family val="1"/>
    </font>
    <font>
      <b/>
      <sz val="16"/>
      <name val="Times New Roman"/>
      <family val="1"/>
    </font>
    <font>
      <b/>
      <sz val="14"/>
      <color theme="1"/>
      <name val="Times New Roman"/>
      <family val="1"/>
    </font>
    <font>
      <sz val="14"/>
      <name val="Arial Narrow"/>
      <family val="2"/>
    </font>
    <font>
      <i/>
      <sz val="14"/>
      <name val="Arial"/>
      <family val="2"/>
    </font>
    <font>
      <u/>
      <sz val="12"/>
      <name val="Arial Narrow"/>
      <family val="2"/>
    </font>
    <font>
      <sz val="11"/>
      <color rgb="FF0000FF"/>
      <name val="Times New Roman"/>
      <family val="1"/>
    </font>
    <font>
      <b/>
      <sz val="16"/>
      <name val="Arial"/>
      <family val="2"/>
    </font>
    <font>
      <sz val="14"/>
      <color rgb="FF0000FF"/>
      <name val="Times New Roman"/>
      <family val="1"/>
    </font>
    <font>
      <sz val="12"/>
      <color theme="1"/>
      <name val="Times New Roman"/>
      <family val="1"/>
    </font>
    <font>
      <sz val="9"/>
      <color indexed="81"/>
      <name val="Tahoma"/>
      <charset val="1"/>
    </font>
    <font>
      <b/>
      <sz val="12"/>
      <color indexed="81"/>
      <name val="Tahoma"/>
      <family val="2"/>
    </font>
    <font>
      <sz val="11"/>
      <color theme="10"/>
      <name val="Times New Roman"/>
      <family val="1"/>
    </font>
    <font>
      <u/>
      <sz val="11"/>
      <color theme="10"/>
      <name val="Times New Roman"/>
      <family val="1"/>
    </font>
    <font>
      <u/>
      <sz val="10"/>
      <name val="Arial"/>
      <family val="2"/>
    </font>
  </fonts>
  <fills count="13">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24994659260841701"/>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6" tint="0.59996337778862885"/>
        <bgColor indexed="64"/>
      </patternFill>
    </fill>
  </fills>
  <borders count="264">
    <border>
      <left/>
      <right/>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right style="dotted">
        <color indexed="64"/>
      </right>
      <top/>
      <bottom/>
      <diagonal/>
    </border>
    <border>
      <left/>
      <right style="dotted">
        <color indexed="64"/>
      </right>
      <top style="dotted">
        <color indexed="64"/>
      </top>
      <bottom style="dotted">
        <color indexed="64"/>
      </bottom>
      <diagonal/>
    </border>
    <border>
      <left/>
      <right style="dotted">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dotted">
        <color indexed="64"/>
      </top>
      <bottom style="dotted">
        <color indexed="64"/>
      </bottom>
      <diagonal/>
    </border>
    <border>
      <left style="thin">
        <color indexed="64"/>
      </left>
      <right style="medium">
        <color indexed="64"/>
      </right>
      <top/>
      <bottom/>
      <diagonal/>
    </border>
    <border>
      <left style="dotted">
        <color indexed="64"/>
      </left>
      <right/>
      <top style="dotted">
        <color indexed="64"/>
      </top>
      <bottom style="dotted">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medium">
        <color indexed="64"/>
      </left>
      <right style="medium">
        <color indexed="64"/>
      </right>
      <top/>
      <bottom style="medium">
        <color indexed="64"/>
      </bottom>
      <diagonal/>
    </border>
    <border>
      <left/>
      <right/>
      <top style="dott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uble">
        <color indexed="64"/>
      </bottom>
      <diagonal/>
    </border>
    <border>
      <left style="dotted">
        <color indexed="64"/>
      </left>
      <right/>
      <top/>
      <bottom/>
      <diagonal/>
    </border>
    <border>
      <left/>
      <right/>
      <top style="thin">
        <color indexed="64"/>
      </top>
      <bottom style="thin">
        <color indexed="64"/>
      </bottom>
      <diagonal/>
    </border>
    <border>
      <left/>
      <right/>
      <top style="thin">
        <color indexed="64"/>
      </top>
      <bottom style="double">
        <color indexed="64"/>
      </bottom>
      <diagonal/>
    </border>
    <border>
      <left/>
      <right style="dotted">
        <color indexed="64"/>
      </right>
      <top style="thin">
        <color indexed="64"/>
      </top>
      <bottom style="double">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right/>
      <top style="dotted">
        <color indexed="64"/>
      </top>
      <bottom style="thin">
        <color indexed="64"/>
      </bottom>
      <diagonal/>
    </border>
    <border>
      <left style="medium">
        <color indexed="64"/>
      </left>
      <right style="thin">
        <color indexed="22"/>
      </right>
      <top/>
      <bottom/>
      <diagonal/>
    </border>
    <border>
      <left/>
      <right/>
      <top style="thin">
        <color indexed="64"/>
      </top>
      <bottom/>
      <diagonal/>
    </border>
    <border>
      <left/>
      <right style="thin">
        <color indexed="22"/>
      </right>
      <top style="thin">
        <color indexed="64"/>
      </top>
      <bottom/>
      <diagonal/>
    </border>
    <border>
      <left style="thin">
        <color indexed="22"/>
      </left>
      <right style="thin">
        <color indexed="64"/>
      </right>
      <top style="thin">
        <color indexed="64"/>
      </top>
      <bottom/>
      <diagonal/>
    </border>
    <border>
      <left style="thin">
        <color indexed="22"/>
      </left>
      <right style="thin">
        <color indexed="64"/>
      </right>
      <top/>
      <bottom/>
      <diagonal/>
    </border>
    <border>
      <left style="medium">
        <color indexed="64"/>
      </left>
      <right style="thin">
        <color indexed="22"/>
      </right>
      <top style="medium">
        <color indexed="64"/>
      </top>
      <bottom/>
      <diagonal/>
    </border>
    <border>
      <left style="medium">
        <color indexed="64"/>
      </left>
      <right style="thin">
        <color indexed="22"/>
      </right>
      <top style="dotted">
        <color indexed="64"/>
      </top>
      <bottom style="dotted">
        <color indexed="64"/>
      </bottom>
      <diagonal/>
    </border>
    <border>
      <left style="medium">
        <color indexed="64"/>
      </left>
      <right style="thin">
        <color indexed="22"/>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22"/>
      </right>
      <top style="thin">
        <color indexed="64"/>
      </top>
      <bottom style="thin">
        <color indexed="64"/>
      </bottom>
      <diagonal/>
    </border>
    <border>
      <left style="medium">
        <color indexed="64"/>
      </left>
      <right style="thin">
        <color indexed="22"/>
      </right>
      <top style="thin">
        <color indexed="64"/>
      </top>
      <bottom/>
      <diagonal/>
    </border>
    <border>
      <left style="medium">
        <color indexed="64"/>
      </left>
      <right style="thin">
        <color indexed="22"/>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uble">
        <color indexed="64"/>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style="thin">
        <color indexed="22"/>
      </right>
      <top style="dotted">
        <color indexed="64"/>
      </top>
      <bottom style="thin">
        <color indexed="64"/>
      </bottom>
      <diagonal/>
    </border>
    <border>
      <left/>
      <right style="dotted">
        <color indexed="64"/>
      </right>
      <top style="dotted">
        <color indexed="64"/>
      </top>
      <bottom style="thin">
        <color indexed="64"/>
      </bottom>
      <diagonal/>
    </border>
    <border>
      <left/>
      <right/>
      <top style="thin">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diagonal/>
    </border>
    <border>
      <left style="hair">
        <color indexed="64"/>
      </left>
      <right style="hair">
        <color indexed="64"/>
      </right>
      <top/>
      <bottom/>
      <diagonal/>
    </border>
    <border>
      <left style="thin">
        <color indexed="64"/>
      </left>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thin">
        <color indexed="64"/>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dotted">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thin">
        <color indexed="64"/>
      </right>
      <top style="thin">
        <color indexed="64"/>
      </top>
      <bottom style="thin">
        <color indexed="22"/>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right/>
      <top style="medium">
        <color indexed="64"/>
      </top>
      <bottom/>
      <diagonal/>
    </border>
    <border>
      <left style="dotted">
        <color indexed="64"/>
      </left>
      <right style="thin">
        <color indexed="64"/>
      </right>
      <top style="medium">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medium">
        <color indexed="64"/>
      </left>
      <right style="dotted">
        <color indexed="64"/>
      </right>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double">
        <color indexed="64"/>
      </bottom>
      <diagonal/>
    </border>
    <border>
      <left style="dotted">
        <color indexed="64"/>
      </left>
      <right style="dotted">
        <color indexed="64"/>
      </right>
      <top/>
      <bottom style="medium">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right/>
      <top style="double">
        <color indexed="64"/>
      </top>
      <bottom style="dotted">
        <color indexed="64"/>
      </bottom>
      <diagonal/>
    </border>
    <border>
      <left style="dotted">
        <color indexed="64"/>
      </left>
      <right style="dotted">
        <color indexed="64"/>
      </right>
      <top style="thin">
        <color indexed="64"/>
      </top>
      <bottom/>
      <diagonal/>
    </border>
    <border>
      <left/>
      <right/>
      <top style="double">
        <color indexed="64"/>
      </top>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right style="medium">
        <color indexed="64"/>
      </right>
      <top style="thin">
        <color indexed="64"/>
      </top>
      <bottom/>
      <diagonal/>
    </border>
    <border>
      <left/>
      <right style="dotted">
        <color indexed="64"/>
      </right>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dashed">
        <color indexed="64"/>
      </left>
      <right style="dashed">
        <color indexed="64"/>
      </right>
      <top style="medium">
        <color indexed="64"/>
      </top>
      <bottom/>
      <diagonal/>
    </border>
    <border>
      <left/>
      <right/>
      <top/>
      <bottom style="double">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dashed">
        <color indexed="64"/>
      </left>
      <right style="dashed">
        <color indexed="64"/>
      </right>
      <top/>
      <bottom/>
      <diagonal/>
    </border>
    <border>
      <left/>
      <right/>
      <top style="dashed">
        <color indexed="64"/>
      </top>
      <bottom style="dashed">
        <color indexed="64"/>
      </bottom>
      <diagonal/>
    </border>
    <border>
      <left/>
      <right/>
      <top style="dashed">
        <color indexed="64"/>
      </top>
      <bottom style="thin">
        <color indexed="64"/>
      </bottom>
      <diagonal/>
    </border>
    <border>
      <left/>
      <right/>
      <top style="dashed">
        <color indexed="64"/>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double">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right style="medium">
        <color indexed="64"/>
      </right>
      <top style="dashed">
        <color indexed="64"/>
      </top>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right style="thin">
        <color indexed="64"/>
      </right>
      <top style="dashed">
        <color indexed="64"/>
      </top>
      <bottom style="dashed">
        <color indexed="64"/>
      </bottom>
      <diagonal/>
    </border>
    <border>
      <left style="medium">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diagonal/>
    </border>
    <border>
      <left style="dashed">
        <color indexed="64"/>
      </left>
      <right style="medium">
        <color indexed="64"/>
      </right>
      <top/>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bottom style="double">
        <color indexed="64"/>
      </bottom>
      <diagonal/>
    </border>
    <border>
      <left style="dashed">
        <color indexed="64"/>
      </left>
      <right style="medium">
        <color indexed="64"/>
      </right>
      <top style="thin">
        <color indexed="64"/>
      </top>
      <bottom style="double">
        <color indexed="64"/>
      </bottom>
      <diagonal/>
    </border>
    <border>
      <left style="dashed">
        <color indexed="64"/>
      </left>
      <right/>
      <top style="medium">
        <color indexed="64"/>
      </top>
      <bottom/>
      <diagonal/>
    </border>
    <border>
      <left style="dashed">
        <color indexed="64"/>
      </left>
      <right/>
      <top/>
      <bottom/>
      <diagonal/>
    </border>
    <border>
      <left/>
      <right style="thin">
        <color indexed="64"/>
      </right>
      <top style="medium">
        <color indexed="64"/>
      </top>
      <bottom/>
      <diagonal/>
    </border>
    <border>
      <left style="dotted">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style="double">
        <color indexed="64"/>
      </top>
      <bottom style="dashed">
        <color theme="1"/>
      </bottom>
      <diagonal/>
    </border>
    <border>
      <left/>
      <right style="thick">
        <color rgb="FFFF0000"/>
      </right>
      <top/>
      <bottom/>
      <diagonal/>
    </border>
    <border>
      <left/>
      <right/>
      <top style="thin">
        <color theme="1"/>
      </top>
      <bottom style="thin">
        <color theme="1"/>
      </bottom>
      <diagonal/>
    </border>
    <border>
      <left/>
      <right/>
      <top style="dashed">
        <color theme="1"/>
      </top>
      <bottom style="dashed">
        <color theme="1"/>
      </bottom>
      <diagonal/>
    </border>
    <border>
      <left/>
      <right/>
      <top style="dashed">
        <color theme="1"/>
      </top>
      <bottom style="thin">
        <color theme="1"/>
      </bottom>
      <diagonal/>
    </border>
    <border>
      <left style="dashed">
        <color theme="1"/>
      </left>
      <right style="dashed">
        <color theme="1"/>
      </right>
      <top/>
      <bottom/>
      <diagonal/>
    </border>
    <border>
      <left style="dashed">
        <color theme="1"/>
      </left>
      <right style="dashed">
        <color theme="1"/>
      </right>
      <top style="thin">
        <color indexed="64"/>
      </top>
      <bottom/>
      <diagonal/>
    </border>
    <border>
      <left style="dashed">
        <color theme="1"/>
      </left>
      <right style="dashed">
        <color theme="1"/>
      </right>
      <top/>
      <bottom style="medium">
        <color indexed="64"/>
      </bottom>
      <diagonal/>
    </border>
    <border>
      <left/>
      <right/>
      <top style="thin">
        <color theme="1"/>
      </top>
      <bottom style="thin">
        <color indexed="64"/>
      </bottom>
      <diagonal/>
    </border>
    <border>
      <left/>
      <right style="thin">
        <color indexed="64"/>
      </right>
      <top style="thin">
        <color theme="1"/>
      </top>
      <bottom style="thin">
        <color theme="1"/>
      </bottom>
      <diagonal/>
    </border>
    <border>
      <left/>
      <right style="thin">
        <color indexed="64"/>
      </right>
      <top style="dashed">
        <color rgb="FFFF0000"/>
      </top>
      <bottom style="dashed">
        <color theme="1"/>
      </bottom>
      <diagonal/>
    </border>
    <border>
      <left/>
      <right style="thin">
        <color indexed="64"/>
      </right>
      <top style="dashed">
        <color theme="1"/>
      </top>
      <bottom style="thin">
        <color theme="1"/>
      </bottom>
      <diagonal/>
    </border>
    <border>
      <left style="medium">
        <color indexed="64"/>
      </left>
      <right style="dashed">
        <color theme="1"/>
      </right>
      <top/>
      <bottom/>
      <diagonal/>
    </border>
    <border>
      <left style="dashed">
        <color theme="1"/>
      </left>
      <right style="medium">
        <color indexed="64"/>
      </right>
      <top/>
      <bottom/>
      <diagonal/>
    </border>
    <border>
      <left style="medium">
        <color indexed="64"/>
      </left>
      <right style="dashed">
        <color theme="1"/>
      </right>
      <top style="thin">
        <color indexed="64"/>
      </top>
      <bottom/>
      <diagonal/>
    </border>
    <border>
      <left style="dashed">
        <color theme="1"/>
      </left>
      <right style="medium">
        <color indexed="64"/>
      </right>
      <top style="thin">
        <color indexed="64"/>
      </top>
      <bottom/>
      <diagonal/>
    </border>
    <border>
      <left style="medium">
        <color indexed="64"/>
      </left>
      <right style="dashed">
        <color theme="1"/>
      </right>
      <top/>
      <bottom style="medium">
        <color indexed="64"/>
      </bottom>
      <diagonal/>
    </border>
    <border>
      <left style="dashed">
        <color theme="1"/>
      </left>
      <right style="medium">
        <color indexed="64"/>
      </right>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style="thick">
        <color rgb="FFFF0000"/>
      </left>
      <right/>
      <top/>
      <bottom style="double">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dashed">
        <color theme="1"/>
      </left>
      <right/>
      <top/>
      <bottom/>
      <diagonal/>
    </border>
    <border>
      <left style="dashed">
        <color theme="1"/>
      </left>
      <right/>
      <top style="thin">
        <color indexed="64"/>
      </top>
      <bottom/>
      <diagonal/>
    </border>
    <border>
      <left style="dashed">
        <color theme="1"/>
      </left>
      <right/>
      <top/>
      <bottom style="medium">
        <color indexed="64"/>
      </bottom>
      <diagonal/>
    </border>
    <border>
      <left style="medium">
        <color indexed="64"/>
      </left>
      <right style="dashed">
        <color theme="1"/>
      </right>
      <top style="medium">
        <color indexed="64"/>
      </top>
      <bottom style="thin">
        <color indexed="64"/>
      </bottom>
      <diagonal/>
    </border>
    <border>
      <left style="dashed">
        <color theme="1"/>
      </left>
      <right style="dashed">
        <color theme="1"/>
      </right>
      <top style="medium">
        <color indexed="64"/>
      </top>
      <bottom style="thin">
        <color indexed="64"/>
      </bottom>
      <diagonal/>
    </border>
    <border>
      <left style="dashed">
        <color theme="1"/>
      </left>
      <right/>
      <top style="medium">
        <color indexed="64"/>
      </top>
      <bottom style="thin">
        <color indexed="64"/>
      </bottom>
      <diagonal/>
    </border>
    <border>
      <left style="dashed">
        <color theme="1"/>
      </left>
      <right style="medium">
        <color indexed="64"/>
      </right>
      <top style="medium">
        <color indexed="64"/>
      </top>
      <bottom style="thin">
        <color indexed="64"/>
      </bottom>
      <diagonal/>
    </border>
    <border>
      <left/>
      <right/>
      <top/>
      <bottom style="thin">
        <color theme="1"/>
      </bottom>
      <diagonal/>
    </border>
    <border>
      <left/>
      <right style="thin">
        <color indexed="64"/>
      </right>
      <top/>
      <bottom style="thin">
        <color theme="1"/>
      </bottom>
      <diagonal/>
    </border>
    <border>
      <left/>
      <right style="thin">
        <color theme="1"/>
      </right>
      <top/>
      <bottom/>
      <diagonal/>
    </border>
    <border>
      <left/>
      <right style="thin">
        <color theme="1"/>
      </right>
      <top style="thin">
        <color indexed="64"/>
      </top>
      <bottom style="thin">
        <color indexed="64"/>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style="dotted">
        <color indexed="64"/>
      </top>
      <bottom style="dotted">
        <color indexed="64"/>
      </bottom>
      <diagonal/>
    </border>
    <border>
      <left/>
      <right style="thin">
        <color theme="1"/>
      </right>
      <top style="dashed">
        <color indexed="64"/>
      </top>
      <bottom style="dashed">
        <color indexed="64"/>
      </bottom>
      <diagonal/>
    </border>
    <border>
      <left/>
      <right style="thin">
        <color theme="1"/>
      </right>
      <top style="dashed">
        <color indexed="64"/>
      </top>
      <bottom style="thin">
        <color indexed="64"/>
      </bottom>
      <diagonal/>
    </border>
    <border>
      <left/>
      <right style="thin">
        <color theme="1"/>
      </right>
      <top style="thin">
        <color indexed="64"/>
      </top>
      <bottom style="double">
        <color indexed="64"/>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dashed">
        <color indexed="64"/>
      </right>
      <top style="thin">
        <color indexed="64"/>
      </top>
      <bottom style="thin">
        <color indexed="64"/>
      </bottom>
      <diagonal/>
    </border>
    <border>
      <left style="thin">
        <color auto="1"/>
      </left>
      <right style="thin">
        <color auto="1"/>
      </right>
      <top style="double">
        <color auto="1"/>
      </top>
      <bottom style="double">
        <color auto="1"/>
      </bottom>
      <diagonal/>
    </border>
    <border>
      <left/>
      <right style="thin">
        <color auto="1"/>
      </right>
      <top style="double">
        <color auto="1"/>
      </top>
      <bottom style="double">
        <color auto="1"/>
      </bottom>
      <diagonal/>
    </border>
    <border>
      <left style="thin">
        <color theme="1"/>
      </left>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dashed">
        <color theme="1"/>
      </top>
      <bottom style="dashed">
        <color theme="1"/>
      </bottom>
      <diagonal/>
    </border>
    <border>
      <left/>
      <right style="thin">
        <color theme="1"/>
      </right>
      <top style="dashed">
        <color theme="1"/>
      </top>
      <bottom style="dashed">
        <color theme="1"/>
      </bottom>
      <diagonal/>
    </border>
    <border>
      <left style="thin">
        <color theme="1"/>
      </left>
      <right/>
      <top style="thin">
        <color theme="1"/>
      </top>
      <bottom/>
      <diagonal/>
    </border>
    <border>
      <left/>
      <right style="thin">
        <color theme="1"/>
      </right>
      <top style="thin">
        <color theme="1"/>
      </top>
      <bottom/>
      <diagonal/>
    </border>
    <border>
      <left/>
      <right style="thin">
        <color theme="1"/>
      </right>
      <top style="dashed">
        <color theme="1"/>
      </top>
      <bottom style="thin">
        <color theme="1"/>
      </bottom>
      <diagonal/>
    </border>
    <border>
      <left style="thin">
        <color theme="1"/>
      </left>
      <right/>
      <top style="dashed">
        <color theme="1"/>
      </top>
      <bottom style="thin">
        <color theme="1"/>
      </bottom>
      <diagonal/>
    </border>
    <border>
      <left style="thin">
        <color theme="1"/>
      </left>
      <right/>
      <top style="thin">
        <color theme="1"/>
      </top>
      <bottom style="double">
        <color theme="1"/>
      </bottom>
      <diagonal/>
    </border>
    <border>
      <left/>
      <right style="thin">
        <color theme="1"/>
      </right>
      <top style="thin">
        <color theme="1"/>
      </top>
      <bottom style="double">
        <color theme="1"/>
      </bottom>
      <diagonal/>
    </border>
    <border>
      <left/>
      <right style="thin">
        <color theme="1"/>
      </right>
      <top/>
      <bottom style="dashed">
        <color theme="1"/>
      </bottom>
      <diagonal/>
    </border>
    <border>
      <left style="thin">
        <color theme="1"/>
      </left>
      <right/>
      <top style="thin">
        <color indexed="64"/>
      </top>
      <bottom/>
      <diagonal/>
    </border>
    <border>
      <left style="thin">
        <color theme="1"/>
      </left>
      <right/>
      <top/>
      <bottom style="thin">
        <color theme="1"/>
      </bottom>
      <diagonal/>
    </border>
    <border>
      <left/>
      <right style="thin">
        <color theme="1"/>
      </right>
      <top/>
      <bottom style="thin">
        <color theme="1"/>
      </bottom>
      <diagonal/>
    </border>
    <border>
      <left style="medium">
        <color indexed="64"/>
      </left>
      <right style="medium">
        <color indexed="64"/>
      </right>
      <top/>
      <bottom style="thick">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dotted">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dotted">
        <color indexed="64"/>
      </left>
      <right style="medium">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dotted">
        <color indexed="64"/>
      </top>
      <bottom style="thin">
        <color indexed="64"/>
      </bottom>
      <diagonal/>
    </border>
    <border>
      <left style="dotted">
        <color indexed="64"/>
      </left>
      <right style="medium">
        <color indexed="64"/>
      </right>
      <top/>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right style="dashed">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3" fontId="38" fillId="0" borderId="0" applyFont="0" applyFill="0" applyBorder="0" applyAlignment="0" applyProtection="0"/>
    <xf numFmtId="44" fontId="1" fillId="0" borderId="0" applyFont="0" applyFill="0" applyBorder="0" applyAlignment="0" applyProtection="0"/>
    <xf numFmtId="0" fontId="16" fillId="0" borderId="0"/>
    <xf numFmtId="9" fontId="1"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8" fillId="0" borderId="0" applyFont="0" applyFill="0" applyBorder="0" applyAlignment="0" applyProtection="0"/>
    <xf numFmtId="0" fontId="51" fillId="0" borderId="0" applyNumberFormat="0" applyFill="0" applyBorder="0" applyAlignment="0" applyProtection="0"/>
  </cellStyleXfs>
  <cellXfs count="1154">
    <xf numFmtId="0" fontId="0" fillId="0" borderId="0" xfId="0"/>
    <xf numFmtId="38" fontId="0" fillId="0" borderId="0" xfId="0" applyNumberFormat="1"/>
    <xf numFmtId="38" fontId="2" fillId="0" borderId="0" xfId="0" applyNumberFormat="1" applyFont="1"/>
    <xf numFmtId="0" fontId="6" fillId="0" borderId="1" xfId="0" applyFont="1" applyBorder="1"/>
    <xf numFmtId="38" fontId="9" fillId="0" borderId="0" xfId="0" applyNumberFormat="1" applyFont="1"/>
    <xf numFmtId="0" fontId="10" fillId="0" borderId="2" xfId="0" applyFont="1" applyBorder="1" applyAlignment="1">
      <alignment horizontal="right"/>
    </xf>
    <xf numFmtId="38" fontId="11" fillId="0" borderId="0" xfId="0" applyNumberFormat="1" applyFont="1"/>
    <xf numFmtId="0" fontId="5" fillId="0" borderId="2" xfId="0" applyFont="1" applyBorder="1" applyAlignment="1">
      <alignment horizontal="right"/>
    </xf>
    <xf numFmtId="0" fontId="11" fillId="0" borderId="0" xfId="0" applyFont="1"/>
    <xf numFmtId="0" fontId="14" fillId="0" borderId="0" xfId="0" applyFont="1"/>
    <xf numFmtId="38" fontId="14" fillId="0" borderId="0" xfId="0" applyNumberFormat="1" applyFont="1"/>
    <xf numFmtId="38" fontId="1" fillId="0" borderId="0" xfId="0" applyNumberFormat="1" applyFont="1"/>
    <xf numFmtId="0" fontId="1" fillId="0" borderId="0" xfId="0" applyFont="1"/>
    <xf numFmtId="0" fontId="7" fillId="0" borderId="3" xfId="0" applyFont="1" applyBorder="1" applyAlignment="1">
      <alignment horizontal="centerContinuous"/>
    </xf>
    <xf numFmtId="0" fontId="5" fillId="0" borderId="1" xfId="0" applyFont="1" applyBorder="1"/>
    <xf numFmtId="0" fontId="5" fillId="0" borderId="4" xfId="0" applyFont="1" applyBorder="1" applyAlignment="1">
      <alignment horizontal="left"/>
    </xf>
    <xf numFmtId="38" fontId="5" fillId="0" borderId="1" xfId="0" applyNumberFormat="1" applyFont="1" applyBorder="1"/>
    <xf numFmtId="38" fontId="5" fillId="0" borderId="5" xfId="0" applyNumberFormat="1" applyFont="1" applyBorder="1"/>
    <xf numFmtId="38" fontId="5" fillId="0" borderId="6" xfId="0" applyNumberFormat="1" applyFont="1" applyBorder="1"/>
    <xf numFmtId="38" fontId="5" fillId="0" borderId="7" xfId="0" applyNumberFormat="1" applyFont="1" applyBorder="1"/>
    <xf numFmtId="38" fontId="6" fillId="0" borderId="1" xfId="0" applyNumberFormat="1" applyFont="1" applyBorder="1"/>
    <xf numFmtId="38" fontId="6" fillId="0" borderId="8" xfId="0" applyNumberFormat="1" applyFont="1" applyBorder="1"/>
    <xf numFmtId="38" fontId="1" fillId="0" borderId="0" xfId="0" applyNumberFormat="1" applyFont="1" applyFill="1"/>
    <xf numFmtId="0" fontId="16" fillId="0" borderId="0" xfId="0" applyFont="1"/>
    <xf numFmtId="0" fontId="5" fillId="0" borderId="9" xfId="0" applyFont="1" applyBorder="1" applyAlignment="1">
      <alignment horizontal="center"/>
    </xf>
    <xf numFmtId="0" fontId="4" fillId="0" borderId="10" xfId="0" applyFont="1" applyBorder="1"/>
    <xf numFmtId="0" fontId="5" fillId="0" borderId="11" xfId="0" applyFont="1" applyBorder="1" applyAlignment="1">
      <alignment horizontal="right"/>
    </xf>
    <xf numFmtId="0" fontId="4" fillId="0" borderId="11" xfId="0" applyFont="1" applyBorder="1"/>
    <xf numFmtId="38" fontId="2" fillId="0" borderId="11" xfId="0" applyNumberFormat="1" applyFont="1" applyBorder="1"/>
    <xf numFmtId="38" fontId="2" fillId="0" borderId="12" xfId="0" applyNumberFormat="1" applyFont="1" applyBorder="1"/>
    <xf numFmtId="38" fontId="2" fillId="0" borderId="13" xfId="0" applyNumberFormat="1" applyFont="1" applyBorder="1"/>
    <xf numFmtId="38" fontId="2" fillId="0" borderId="14" xfId="0" applyNumberFormat="1" applyFont="1" applyBorder="1"/>
    <xf numFmtId="38" fontId="2" fillId="0" borderId="15" xfId="0" applyNumberFormat="1" applyFont="1" applyBorder="1"/>
    <xf numFmtId="38" fontId="8" fillId="0" borderId="16" xfId="0" applyNumberFormat="1" applyFont="1" applyBorder="1"/>
    <xf numFmtId="0" fontId="4" fillId="0" borderId="17" xfId="0" applyFont="1" applyBorder="1" applyAlignment="1">
      <alignment horizontal="center"/>
    </xf>
    <xf numFmtId="0" fontId="4" fillId="0" borderId="18" xfId="0" applyFont="1" applyBorder="1" applyAlignment="1">
      <alignment horizontal="center"/>
    </xf>
    <xf numFmtId="0" fontId="0" fillId="0" borderId="19" xfId="0" applyBorder="1"/>
    <xf numFmtId="0" fontId="16" fillId="0" borderId="20" xfId="0" applyFont="1" applyBorder="1"/>
    <xf numFmtId="38" fontId="16" fillId="0" borderId="17" xfId="0" applyNumberFormat="1" applyFont="1" applyBorder="1"/>
    <xf numFmtId="38" fontId="2" fillId="0" borderId="21" xfId="0" applyNumberFormat="1" applyFont="1" applyBorder="1"/>
    <xf numFmtId="38" fontId="2" fillId="0" borderId="22" xfId="0" applyNumberFormat="1" applyFont="1" applyBorder="1"/>
    <xf numFmtId="38" fontId="2" fillId="0" borderId="23" xfId="0" applyNumberFormat="1" applyFont="1" applyBorder="1"/>
    <xf numFmtId="38" fontId="2" fillId="0" borderId="24" xfId="0" applyNumberFormat="1" applyFont="1" applyBorder="1" applyAlignment="1">
      <alignment horizontal="right"/>
    </xf>
    <xf numFmtId="38" fontId="2" fillId="0" borderId="25" xfId="0" applyNumberFormat="1" applyFont="1" applyBorder="1" applyAlignment="1">
      <alignment horizontal="right"/>
    </xf>
    <xf numFmtId="38" fontId="2" fillId="0" borderId="26" xfId="0" applyNumberFormat="1" applyFont="1" applyBorder="1" applyAlignment="1">
      <alignment horizontal="right"/>
    </xf>
    <xf numFmtId="0" fontId="4" fillId="0" borderId="27" xfId="0" applyFont="1" applyBorder="1"/>
    <xf numFmtId="6" fontId="11" fillId="0" borderId="0" xfId="0" applyNumberFormat="1" applyFont="1"/>
    <xf numFmtId="38" fontId="11" fillId="0" borderId="28" xfId="0" applyNumberFormat="1" applyFont="1" applyBorder="1"/>
    <xf numFmtId="10" fontId="11" fillId="0" borderId="28" xfId="0" applyNumberFormat="1" applyFont="1" applyBorder="1"/>
    <xf numFmtId="38" fontId="20" fillId="0" borderId="0" xfId="0" applyNumberFormat="1" applyFont="1"/>
    <xf numFmtId="38" fontId="21" fillId="0" borderId="0" xfId="0" applyNumberFormat="1" applyFont="1"/>
    <xf numFmtId="38" fontId="19" fillId="0" borderId="0" xfId="0" applyNumberFormat="1" applyFont="1" applyAlignment="1"/>
    <xf numFmtId="0" fontId="22" fillId="0" borderId="0" xfId="0" applyFont="1"/>
    <xf numFmtId="0" fontId="2" fillId="0" borderId="0" xfId="0" applyFont="1"/>
    <xf numFmtId="38" fontId="22" fillId="0" borderId="0" xfId="0" applyNumberFormat="1" applyFont="1"/>
    <xf numFmtId="0" fontId="10" fillId="0" borderId="1" xfId="0" applyFont="1" applyBorder="1" applyAlignment="1">
      <alignment horizontal="centerContinuous"/>
    </xf>
    <xf numFmtId="0" fontId="10" fillId="0" borderId="2" xfId="0" applyFont="1" applyBorder="1" applyAlignment="1">
      <alignment horizontal="center"/>
    </xf>
    <xf numFmtId="0" fontId="4" fillId="0" borderId="11" xfId="0" applyFont="1" applyBorder="1" applyAlignment="1">
      <alignment horizontal="center"/>
    </xf>
    <xf numFmtId="38" fontId="2" fillId="0" borderId="24" xfId="0" applyNumberFormat="1" applyFont="1" applyBorder="1"/>
    <xf numFmtId="38" fontId="23" fillId="0" borderId="0" xfId="0" applyNumberFormat="1" applyFont="1" applyFill="1" applyAlignment="1">
      <alignment horizontal="right"/>
    </xf>
    <xf numFmtId="0" fontId="5" fillId="0" borderId="11" xfId="0" applyFont="1" applyBorder="1" applyAlignment="1">
      <alignment horizontal="center"/>
    </xf>
    <xf numFmtId="0" fontId="4" fillId="0" borderId="29" xfId="0" applyFont="1" applyBorder="1"/>
    <xf numFmtId="38" fontId="2" fillId="0" borderId="30" xfId="0" applyNumberFormat="1" applyFont="1" applyBorder="1" applyAlignment="1">
      <alignment horizontal="right"/>
    </xf>
    <xf numFmtId="38" fontId="2" fillId="0" borderId="31" xfId="0" applyNumberFormat="1" applyFont="1" applyBorder="1" applyAlignment="1">
      <alignment horizontal="right"/>
    </xf>
    <xf numFmtId="38" fontId="8" fillId="0" borderId="32" xfId="0" applyNumberFormat="1" applyFont="1" applyFill="1" applyBorder="1" applyAlignment="1">
      <alignment horizontal="right"/>
    </xf>
    <xf numFmtId="0" fontId="24" fillId="0" borderId="33" xfId="0" applyFont="1" applyBorder="1" applyAlignment="1">
      <alignment horizontal="center"/>
    </xf>
    <xf numFmtId="38" fontId="11" fillId="0" borderId="34" xfId="0" applyNumberFormat="1" applyFont="1" applyBorder="1" applyAlignment="1">
      <alignment horizontal="right"/>
    </xf>
    <xf numFmtId="38" fontId="11" fillId="0" borderId="0" xfId="0" quotePrefix="1" applyNumberFormat="1" applyFont="1" applyFill="1"/>
    <xf numFmtId="38" fontId="14" fillId="0" borderId="0" xfId="0" applyNumberFormat="1" applyFont="1" applyFill="1"/>
    <xf numFmtId="0" fontId="6" fillId="0" borderId="35" xfId="0" applyFont="1" applyBorder="1" applyAlignment="1"/>
    <xf numFmtId="0" fontId="10" fillId="0" borderId="21" xfId="0" applyFont="1" applyBorder="1" applyAlignment="1"/>
    <xf numFmtId="0" fontId="10" fillId="0" borderId="21" xfId="0" applyFont="1" applyFill="1" applyBorder="1" applyAlignment="1">
      <alignment horizontal="center"/>
    </xf>
    <xf numFmtId="0" fontId="10" fillId="0" borderId="36" xfId="0" applyFont="1" applyBorder="1" applyAlignment="1">
      <alignment horizontal="center"/>
    </xf>
    <xf numFmtId="0" fontId="4" fillId="0" borderId="21" xfId="0" applyFont="1" applyBorder="1"/>
    <xf numFmtId="38" fontId="2" fillId="0" borderId="21" xfId="0" applyNumberFormat="1" applyFont="1" applyBorder="1" applyAlignment="1">
      <alignment horizontal="right"/>
    </xf>
    <xf numFmtId="38" fontId="2" fillId="0" borderId="37" xfId="0" applyNumberFormat="1" applyFont="1" applyBorder="1" applyAlignment="1">
      <alignment horizontal="right"/>
    </xf>
    <xf numFmtId="38" fontId="2" fillId="0" borderId="23" xfId="0" applyNumberFormat="1" applyFont="1" applyBorder="1" applyAlignment="1">
      <alignment horizontal="right"/>
    </xf>
    <xf numFmtId="38" fontId="8" fillId="0" borderId="38" xfId="0" applyNumberFormat="1" applyFont="1" applyFill="1" applyBorder="1" applyAlignment="1">
      <alignment horizontal="right"/>
    </xf>
    <xf numFmtId="38" fontId="2" fillId="0" borderId="39" xfId="0" applyNumberFormat="1" applyFont="1" applyBorder="1" applyAlignment="1">
      <alignment horizontal="right"/>
    </xf>
    <xf numFmtId="0" fontId="18" fillId="0" borderId="0" xfId="0" applyFont="1" applyAlignment="1"/>
    <xf numFmtId="38" fontId="2" fillId="0" borderId="40" xfId="0" applyNumberFormat="1" applyFont="1" applyBorder="1"/>
    <xf numFmtId="6" fontId="11" fillId="0" borderId="0" xfId="0" applyNumberFormat="1" applyFont="1" applyAlignment="1"/>
    <xf numFmtId="38" fontId="8" fillId="0" borderId="41" xfId="0" applyNumberFormat="1" applyFont="1" applyFill="1" applyBorder="1"/>
    <xf numFmtId="38" fontId="2" fillId="0" borderId="39" xfId="0" applyNumberFormat="1" applyFont="1" applyBorder="1"/>
    <xf numFmtId="38" fontId="8" fillId="0" borderId="42" xfId="0" applyNumberFormat="1" applyFont="1" applyFill="1" applyBorder="1" applyAlignment="1">
      <alignment horizontal="right"/>
    </xf>
    <xf numFmtId="38" fontId="2" fillId="0" borderId="2" xfId="0" applyNumberFormat="1" applyFont="1" applyBorder="1"/>
    <xf numFmtId="38" fontId="2" fillId="0" borderId="43" xfId="0" applyNumberFormat="1" applyFont="1" applyBorder="1"/>
    <xf numFmtId="38" fontId="2" fillId="0" borderId="44" xfId="0" applyNumberFormat="1" applyFont="1" applyBorder="1"/>
    <xf numFmtId="38" fontId="2" fillId="0" borderId="45" xfId="0" applyNumberFormat="1" applyFont="1" applyBorder="1"/>
    <xf numFmtId="38" fontId="2" fillId="0" borderId="46" xfId="0" applyNumberFormat="1" applyFont="1" applyBorder="1"/>
    <xf numFmtId="38" fontId="8" fillId="0" borderId="47" xfId="0" applyNumberFormat="1" applyFont="1" applyBorder="1"/>
    <xf numFmtId="0" fontId="10" fillId="0" borderId="48" xfId="0" applyFont="1" applyBorder="1" applyAlignment="1">
      <alignment horizontal="center"/>
    </xf>
    <xf numFmtId="0" fontId="10" fillId="0" borderId="29" xfId="0" applyFont="1" applyBorder="1" applyAlignment="1">
      <alignment horizontal="center"/>
    </xf>
    <xf numFmtId="0" fontId="5" fillId="0" borderId="29" xfId="0" applyFont="1" applyBorder="1" applyAlignment="1">
      <alignment horizontal="center"/>
    </xf>
    <xf numFmtId="0" fontId="5" fillId="0" borderId="49" xfId="0" applyFont="1" applyBorder="1" applyAlignment="1">
      <alignment horizontal="center"/>
    </xf>
    <xf numFmtId="38" fontId="2" fillId="0" borderId="29" xfId="0" applyNumberFormat="1" applyFont="1" applyBorder="1"/>
    <xf numFmtId="38" fontId="2" fillId="0" borderId="50" xfId="0" applyNumberFormat="1" applyFont="1" applyBorder="1"/>
    <xf numFmtId="38" fontId="2" fillId="0" borderId="51" xfId="0" applyNumberFormat="1" applyFont="1" applyBorder="1"/>
    <xf numFmtId="38" fontId="2" fillId="0" borderId="52" xfId="0" applyNumberFormat="1" applyFont="1" applyBorder="1"/>
    <xf numFmtId="38" fontId="2" fillId="0" borderId="48" xfId="0" applyNumberFormat="1" applyFont="1" applyBorder="1"/>
    <xf numFmtId="38" fontId="8" fillId="0" borderId="53" xfId="0" applyNumberFormat="1" applyFont="1" applyBorder="1"/>
    <xf numFmtId="0" fontId="4" fillId="0" borderId="2" xfId="0" applyFont="1" applyFill="1" applyBorder="1" applyAlignment="1">
      <alignment horizontal="center"/>
    </xf>
    <xf numFmtId="0" fontId="4" fillId="0" borderId="54" xfId="0" applyFont="1" applyFill="1" applyBorder="1" applyAlignment="1">
      <alignment horizontal="right"/>
    </xf>
    <xf numFmtId="38" fontId="2" fillId="0" borderId="55" xfId="0" applyNumberFormat="1" applyFont="1" applyBorder="1"/>
    <xf numFmtId="0" fontId="4" fillId="0" borderId="56" xfId="0" applyFont="1" applyBorder="1" applyAlignment="1">
      <alignment horizontal="center"/>
    </xf>
    <xf numFmtId="0" fontId="16" fillId="0" borderId="46" xfId="0" applyFont="1" applyBorder="1"/>
    <xf numFmtId="0" fontId="10" fillId="0" borderId="57" xfId="0" applyFont="1" applyBorder="1" applyAlignment="1">
      <alignment horizontal="center"/>
    </xf>
    <xf numFmtId="0" fontId="10" fillId="0" borderId="58" xfId="0" applyFont="1" applyBorder="1" applyAlignment="1">
      <alignment horizontal="center"/>
    </xf>
    <xf numFmtId="0" fontId="10" fillId="0" borderId="59" xfId="0" applyFont="1" applyBorder="1" applyAlignment="1">
      <alignment horizontal="center"/>
    </xf>
    <xf numFmtId="0" fontId="0" fillId="0" borderId="60" xfId="0" applyBorder="1"/>
    <xf numFmtId="0" fontId="4" fillId="0" borderId="19" xfId="0" applyFont="1" applyFill="1" applyBorder="1" applyAlignment="1">
      <alignment horizontal="right"/>
    </xf>
    <xf numFmtId="0" fontId="4" fillId="0" borderId="61" xfId="0" applyFont="1" applyBorder="1"/>
    <xf numFmtId="38" fontId="2" fillId="0" borderId="56" xfId="0" applyNumberFormat="1" applyFont="1" applyFill="1" applyBorder="1"/>
    <xf numFmtId="38" fontId="2" fillId="0" borderId="62" xfId="0" applyNumberFormat="1" applyFont="1" applyBorder="1"/>
    <xf numFmtId="38" fontId="2" fillId="0" borderId="63" xfId="0" applyNumberFormat="1" applyFont="1" applyBorder="1"/>
    <xf numFmtId="38" fontId="2" fillId="0" borderId="64" xfId="0" applyNumberFormat="1" applyFont="1" applyBorder="1"/>
    <xf numFmtId="38" fontId="2" fillId="0" borderId="65" xfId="0" applyNumberFormat="1" applyFont="1" applyBorder="1"/>
    <xf numFmtId="38" fontId="3" fillId="0" borderId="66" xfId="0" applyNumberFormat="1" applyFont="1" applyBorder="1"/>
    <xf numFmtId="38" fontId="8" fillId="0" borderId="67" xfId="0" applyNumberFormat="1" applyFont="1" applyFill="1" applyBorder="1"/>
    <xf numFmtId="0" fontId="16" fillId="0" borderId="57" xfId="0" applyFont="1" applyBorder="1"/>
    <xf numFmtId="0" fontId="4" fillId="0" borderId="0" xfId="0" applyFont="1" applyBorder="1" applyAlignment="1">
      <alignment horizontal="center"/>
    </xf>
    <xf numFmtId="0" fontId="4" fillId="0" borderId="0" xfId="0" applyFont="1" applyBorder="1"/>
    <xf numFmtId="38" fontId="2" fillId="0" borderId="0" xfId="0" applyNumberFormat="1" applyFont="1" applyFill="1" applyBorder="1"/>
    <xf numFmtId="38" fontId="2" fillId="0" borderId="28" xfId="0" applyNumberFormat="1" applyFont="1" applyBorder="1"/>
    <xf numFmtId="38" fontId="3" fillId="0" borderId="0" xfId="0" applyNumberFormat="1" applyFont="1" applyBorder="1"/>
    <xf numFmtId="0" fontId="4" fillId="0" borderId="68" xfId="0" applyFont="1" applyFill="1" applyBorder="1" applyAlignment="1">
      <alignment horizontal="center"/>
    </xf>
    <xf numFmtId="0" fontId="4" fillId="0" borderId="69" xfId="0" applyFont="1" applyFill="1" applyBorder="1" applyAlignment="1">
      <alignment horizontal="center"/>
    </xf>
    <xf numFmtId="165" fontId="16" fillId="0" borderId="19" xfId="0" applyNumberFormat="1" applyFont="1" applyBorder="1"/>
    <xf numFmtId="165" fontId="16" fillId="0" borderId="18" xfId="0" applyNumberFormat="1" applyFont="1" applyBorder="1"/>
    <xf numFmtId="38" fontId="28" fillId="0" borderId="0" xfId="0" applyNumberFormat="1" applyFont="1"/>
    <xf numFmtId="38" fontId="14" fillId="0" borderId="0" xfId="0" applyNumberFormat="1" applyFont="1" applyBorder="1"/>
    <xf numFmtId="0" fontId="4" fillId="0" borderId="19" xfId="0" applyFont="1" applyBorder="1"/>
    <xf numFmtId="38" fontId="2" fillId="0" borderId="19" xfId="0" applyNumberFormat="1" applyFont="1" applyBorder="1" applyAlignment="1">
      <alignment horizontal="right"/>
    </xf>
    <xf numFmtId="38" fontId="2" fillId="0" borderId="70" xfId="0" applyNumberFormat="1" applyFont="1" applyBorder="1" applyAlignment="1">
      <alignment horizontal="right"/>
    </xf>
    <xf numFmtId="38" fontId="2" fillId="0" borderId="18" xfId="0" applyNumberFormat="1" applyFont="1" applyBorder="1" applyAlignment="1">
      <alignment horizontal="right"/>
    </xf>
    <xf numFmtId="38" fontId="8" fillId="0" borderId="71" xfId="0" applyNumberFormat="1" applyFont="1" applyBorder="1" applyAlignment="1">
      <alignment horizontal="right"/>
    </xf>
    <xf numFmtId="0" fontId="4" fillId="0" borderId="72" xfId="0" applyFont="1" applyBorder="1"/>
    <xf numFmtId="38" fontId="2" fillId="0" borderId="73" xfId="0" applyNumberFormat="1" applyFont="1" applyBorder="1"/>
    <xf numFmtId="38" fontId="2" fillId="0" borderId="74" xfId="0" applyNumberFormat="1" applyFont="1" applyBorder="1"/>
    <xf numFmtId="38" fontId="2" fillId="0" borderId="75" xfId="0" applyNumberFormat="1" applyFont="1" applyBorder="1"/>
    <xf numFmtId="0" fontId="10" fillId="0" borderId="76" xfId="0" applyFont="1" applyFill="1" applyBorder="1" applyAlignment="1">
      <alignment horizontal="center"/>
    </xf>
    <xf numFmtId="0" fontId="4" fillId="0" borderId="77" xfId="0" applyFont="1" applyFill="1" applyBorder="1" applyAlignment="1">
      <alignment horizontal="center"/>
    </xf>
    <xf numFmtId="0" fontId="4" fillId="0" borderId="78" xfId="0" applyFont="1" applyFill="1" applyBorder="1" applyAlignment="1">
      <alignment horizontal="right"/>
    </xf>
    <xf numFmtId="0" fontId="4" fillId="0" borderId="79" xfId="0" applyFont="1" applyBorder="1" applyAlignment="1">
      <alignment horizontal="center"/>
    </xf>
    <xf numFmtId="0" fontId="4" fillId="0" borderId="80" xfId="0" applyFont="1" applyFill="1" applyBorder="1" applyAlignment="1">
      <alignment horizontal="right"/>
    </xf>
    <xf numFmtId="9" fontId="29" fillId="0" borderId="69" xfId="5" applyFont="1" applyBorder="1" applyAlignment="1">
      <alignment horizontal="center"/>
    </xf>
    <xf numFmtId="0" fontId="29" fillId="0" borderId="69" xfId="0" applyFont="1" applyBorder="1" applyAlignment="1">
      <alignment horizontal="center"/>
    </xf>
    <xf numFmtId="15" fontId="4" fillId="0" borderId="69" xfId="0" applyNumberFormat="1" applyFont="1" applyBorder="1" applyAlignment="1"/>
    <xf numFmtId="0" fontId="15" fillId="0" borderId="69" xfId="0" applyFont="1" applyBorder="1" applyAlignment="1"/>
    <xf numFmtId="0" fontId="7" fillId="0" borderId="20" xfId="0" applyFont="1" applyBorder="1" applyAlignment="1">
      <alignment horizontal="centerContinuous"/>
    </xf>
    <xf numFmtId="0" fontId="6" fillId="0" borderId="48" xfId="0" applyFont="1" applyBorder="1" applyAlignment="1">
      <alignment horizontal="center"/>
    </xf>
    <xf numFmtId="0" fontId="6" fillId="0" borderId="81" xfId="0" applyFont="1" applyBorder="1" applyAlignment="1">
      <alignment horizontal="center"/>
    </xf>
    <xf numFmtId="0" fontId="6" fillId="0" borderId="82" xfId="0" applyFont="1" applyBorder="1" applyAlignment="1">
      <alignment horizontal="center"/>
    </xf>
    <xf numFmtId="0" fontId="4" fillId="0" borderId="3" xfId="0" applyFont="1" applyFill="1" applyBorder="1" applyAlignment="1">
      <alignment horizontal="right"/>
    </xf>
    <xf numFmtId="0" fontId="10" fillId="0" borderId="19" xfId="0" applyFont="1" applyFill="1" applyBorder="1" applyAlignment="1">
      <alignment horizontal="center"/>
    </xf>
    <xf numFmtId="0" fontId="24" fillId="0" borderId="29" xfId="0" applyFont="1" applyBorder="1" applyAlignment="1">
      <alignment horizontal="center"/>
    </xf>
    <xf numFmtId="0" fontId="30" fillId="0" borderId="0" xfId="0" applyFont="1" applyFill="1" applyBorder="1" applyAlignment="1">
      <alignment horizontal="right"/>
    </xf>
    <xf numFmtId="0" fontId="30" fillId="0" borderId="83" xfId="0" applyFont="1" applyFill="1" applyBorder="1" applyAlignment="1">
      <alignment horizontal="right"/>
    </xf>
    <xf numFmtId="0" fontId="30" fillId="0" borderId="19" xfId="0" applyFont="1" applyFill="1" applyBorder="1" applyAlignment="1">
      <alignment horizontal="right"/>
    </xf>
    <xf numFmtId="0" fontId="4" fillId="0" borderId="1" xfId="0" applyFont="1" applyFill="1" applyBorder="1" applyAlignment="1">
      <alignment horizontal="right"/>
    </xf>
    <xf numFmtId="0" fontId="10" fillId="0" borderId="1" xfId="0" applyFont="1" applyFill="1" applyBorder="1" applyAlignment="1">
      <alignment horizontal="center"/>
    </xf>
    <xf numFmtId="0" fontId="24" fillId="0" borderId="84" xfId="0" applyFont="1" applyBorder="1" applyAlignment="1">
      <alignment horizontal="center"/>
    </xf>
    <xf numFmtId="0" fontId="24" fillId="0" borderId="49" xfId="0" applyFont="1" applyBorder="1" applyAlignment="1">
      <alignment horizontal="center"/>
    </xf>
    <xf numFmtId="165" fontId="30" fillId="0" borderId="85" xfId="0" applyNumberFormat="1" applyFont="1" applyFill="1" applyBorder="1" applyAlignment="1">
      <alignment horizontal="right"/>
    </xf>
    <xf numFmtId="165" fontId="30" fillId="0" borderId="86" xfId="0" applyNumberFormat="1" applyFont="1" applyFill="1" applyBorder="1" applyAlignment="1">
      <alignment horizontal="right"/>
    </xf>
    <xf numFmtId="10" fontId="30" fillId="0" borderId="54" xfId="0" applyNumberFormat="1" applyFont="1" applyFill="1" applyBorder="1" applyAlignment="1">
      <alignment horizontal="right"/>
    </xf>
    <xf numFmtId="165" fontId="4" fillId="0" borderId="4" xfId="0" applyNumberFormat="1" applyFont="1" applyFill="1" applyBorder="1" applyAlignment="1">
      <alignment horizontal="right"/>
    </xf>
    <xf numFmtId="0" fontId="10" fillId="0" borderId="54" xfId="0" applyFont="1" applyBorder="1" applyAlignment="1">
      <alignment horizontal="center"/>
    </xf>
    <xf numFmtId="0" fontId="4" fillId="0" borderId="20" xfId="0" applyFont="1" applyBorder="1"/>
    <xf numFmtId="0" fontId="4" fillId="0" borderId="87" xfId="0" applyFont="1" applyBorder="1"/>
    <xf numFmtId="0" fontId="4" fillId="0" borderId="88" xfId="0" applyFont="1" applyBorder="1"/>
    <xf numFmtId="0" fontId="4" fillId="0" borderId="1" xfId="0" applyFont="1" applyBorder="1"/>
    <xf numFmtId="38" fontId="2" fillId="0" borderId="20" xfId="0" applyNumberFormat="1" applyFont="1" applyBorder="1"/>
    <xf numFmtId="38" fontId="2" fillId="0" borderId="87" xfId="0" applyNumberFormat="1" applyFont="1" applyBorder="1"/>
    <xf numFmtId="38" fontId="2" fillId="0" borderId="0" xfId="0" applyNumberFormat="1" applyFont="1" applyFill="1" applyBorder="1" applyAlignment="1">
      <alignment horizontal="right"/>
    </xf>
    <xf numFmtId="38" fontId="2" fillId="0" borderId="88" xfId="0" applyNumberFormat="1" applyFont="1" applyFill="1" applyBorder="1" applyAlignment="1">
      <alignment horizontal="right"/>
    </xf>
    <xf numFmtId="38" fontId="2" fillId="0" borderId="19" xfId="0" applyNumberFormat="1" applyFont="1" applyFill="1" applyBorder="1" applyAlignment="1">
      <alignment horizontal="right"/>
    </xf>
    <xf numFmtId="38" fontId="2" fillId="0" borderId="1" xfId="0" applyNumberFormat="1" applyFont="1" applyBorder="1" applyAlignment="1">
      <alignment horizontal="right"/>
    </xf>
    <xf numFmtId="38" fontId="2" fillId="0" borderId="89" xfId="0" applyNumberFormat="1" applyFont="1" applyBorder="1"/>
    <xf numFmtId="38" fontId="2" fillId="3" borderId="28" xfId="0" applyNumberFormat="1" applyFont="1" applyFill="1" applyBorder="1" applyAlignment="1">
      <alignment horizontal="right"/>
    </xf>
    <xf numFmtId="38" fontId="2" fillId="3" borderId="90" xfId="0" applyNumberFormat="1" applyFont="1" applyFill="1" applyBorder="1" applyAlignment="1">
      <alignment horizontal="right"/>
    </xf>
    <xf numFmtId="38" fontId="2" fillId="3" borderId="70" xfId="0" applyNumberFormat="1" applyFont="1" applyFill="1" applyBorder="1" applyAlignment="1">
      <alignment horizontal="right"/>
    </xf>
    <xf numFmtId="38" fontId="2" fillId="3" borderId="5" xfId="0" applyNumberFormat="1" applyFont="1" applyFill="1" applyBorder="1" applyAlignment="1">
      <alignment horizontal="right"/>
    </xf>
    <xf numFmtId="38" fontId="2" fillId="0" borderId="5" xfId="0" applyNumberFormat="1" applyFont="1" applyBorder="1" applyAlignment="1">
      <alignment horizontal="right"/>
    </xf>
    <xf numFmtId="38" fontId="2" fillId="0" borderId="28" xfId="0" applyNumberFormat="1" applyFont="1" applyBorder="1" applyAlignment="1">
      <alignment horizontal="right"/>
    </xf>
    <xf numFmtId="38" fontId="2" fillId="0" borderId="90" xfId="0" applyNumberFormat="1" applyFont="1" applyBorder="1" applyAlignment="1">
      <alignment horizontal="right"/>
    </xf>
    <xf numFmtId="38" fontId="2" fillId="0" borderId="91" xfId="0" applyNumberFormat="1" applyFont="1" applyBorder="1"/>
    <xf numFmtId="38" fontId="2" fillId="0" borderId="55" xfId="0" applyNumberFormat="1" applyFont="1" applyBorder="1" applyAlignment="1">
      <alignment horizontal="right"/>
    </xf>
    <xf numFmtId="38" fontId="2" fillId="0" borderId="92" xfId="0" applyNumberFormat="1" applyFont="1" applyBorder="1" applyAlignment="1">
      <alignment horizontal="right"/>
    </xf>
    <xf numFmtId="38" fontId="2" fillId="0" borderId="64" xfId="0" applyNumberFormat="1" applyFont="1" applyBorder="1" applyAlignment="1">
      <alignment horizontal="right"/>
    </xf>
    <xf numFmtId="38" fontId="2" fillId="0" borderId="6" xfId="0" applyNumberFormat="1" applyFont="1" applyBorder="1" applyAlignment="1">
      <alignment horizontal="right"/>
    </xf>
    <xf numFmtId="38" fontId="2" fillId="0" borderId="17" xfId="0" applyNumberFormat="1" applyFont="1" applyBorder="1"/>
    <xf numFmtId="38" fontId="2" fillId="0" borderId="40" xfId="0" applyNumberFormat="1" applyFont="1" applyBorder="1" applyAlignment="1">
      <alignment horizontal="right"/>
    </xf>
    <xf numFmtId="38" fontId="2" fillId="0" borderId="93" xfId="0" applyNumberFormat="1" applyFont="1" applyBorder="1" applyAlignment="1">
      <alignment horizontal="right"/>
    </xf>
    <xf numFmtId="38" fontId="2" fillId="0" borderId="7" xfId="0" applyNumberFormat="1" applyFont="1" applyBorder="1" applyAlignment="1">
      <alignment horizontal="right"/>
    </xf>
    <xf numFmtId="38" fontId="2" fillId="0" borderId="0" xfId="0" applyNumberFormat="1" applyFont="1" applyBorder="1" applyAlignment="1">
      <alignment horizontal="right"/>
    </xf>
    <xf numFmtId="38" fontId="2" fillId="0" borderId="88" xfId="0" applyNumberFormat="1" applyFont="1" applyBorder="1" applyAlignment="1">
      <alignment horizontal="right"/>
    </xf>
    <xf numFmtId="38" fontId="41" fillId="0" borderId="19" xfId="0" applyNumberFormat="1" applyFont="1" applyBorder="1" applyAlignment="1">
      <alignment horizontal="right"/>
    </xf>
    <xf numFmtId="38" fontId="2" fillId="0" borderId="94" xfId="0" applyNumberFormat="1" applyFont="1" applyBorder="1"/>
    <xf numFmtId="38" fontId="8" fillId="0" borderId="95" xfId="0" applyNumberFormat="1" applyFont="1" applyBorder="1"/>
    <xf numFmtId="38" fontId="8" fillId="0" borderId="41" xfId="0" applyNumberFormat="1" applyFont="1" applyFill="1" applyBorder="1" applyAlignment="1">
      <alignment horizontal="right"/>
    </xf>
    <xf numFmtId="38" fontId="8" fillId="0" borderId="96" xfId="0" applyNumberFormat="1" applyFont="1" applyFill="1" applyBorder="1" applyAlignment="1">
      <alignment horizontal="right"/>
    </xf>
    <xf numFmtId="38" fontId="8" fillId="0" borderId="71" xfId="0" applyNumberFormat="1" applyFont="1" applyFill="1" applyBorder="1" applyAlignment="1">
      <alignment horizontal="right"/>
    </xf>
    <xf numFmtId="38" fontId="8" fillId="0" borderId="8" xfId="0" applyNumberFormat="1" applyFont="1" applyBorder="1" applyAlignment="1">
      <alignment horizontal="right"/>
    </xf>
    <xf numFmtId="38" fontId="3" fillId="0" borderId="39" xfId="0" applyNumberFormat="1" applyFont="1" applyBorder="1"/>
    <xf numFmtId="10" fontId="3" fillId="0" borderId="39" xfId="0" applyNumberFormat="1" applyFont="1" applyBorder="1"/>
    <xf numFmtId="165" fontId="3" fillId="0" borderId="97" xfId="0" applyNumberFormat="1" applyFont="1" applyBorder="1"/>
    <xf numFmtId="38" fontId="2" fillId="0" borderId="0" xfId="0" applyNumberFormat="1" applyFont="1" applyBorder="1"/>
    <xf numFmtId="0" fontId="24" fillId="0" borderId="87" xfId="0" applyFont="1" applyBorder="1" applyAlignment="1">
      <alignment horizontal="right"/>
    </xf>
    <xf numFmtId="165" fontId="24" fillId="0" borderId="98" xfId="0" quotePrefix="1" applyNumberFormat="1" applyFont="1" applyBorder="1" applyAlignment="1">
      <alignment horizontal="right"/>
    </xf>
    <xf numFmtId="0" fontId="4" fillId="0" borderId="99" xfId="0" applyFont="1" applyFill="1" applyBorder="1" applyAlignment="1">
      <alignment horizontal="center"/>
    </xf>
    <xf numFmtId="0" fontId="24" fillId="0" borderId="20" xfId="0" applyFont="1" applyBorder="1" applyAlignment="1">
      <alignment horizontal="center"/>
    </xf>
    <xf numFmtId="0" fontId="24" fillId="0" borderId="0" xfId="0" applyFont="1" applyBorder="1" applyAlignment="1">
      <alignment horizontal="right"/>
    </xf>
    <xf numFmtId="165" fontId="24" fillId="0" borderId="85" xfId="0" quotePrefix="1" applyNumberFormat="1" applyFont="1" applyBorder="1" applyAlignment="1">
      <alignment horizontal="right"/>
    </xf>
    <xf numFmtId="0" fontId="24" fillId="0" borderId="40" xfId="0" applyFont="1" applyBorder="1" applyAlignment="1">
      <alignment horizontal="center"/>
    </xf>
    <xf numFmtId="0" fontId="24" fillId="0" borderId="19" xfId="0" applyFont="1" applyBorder="1" applyAlignment="1">
      <alignment horizontal="right"/>
    </xf>
    <xf numFmtId="165" fontId="24" fillId="0" borderId="54" xfId="0" quotePrefix="1" applyNumberFormat="1" applyFont="1" applyBorder="1" applyAlignment="1">
      <alignment horizontal="right"/>
    </xf>
    <xf numFmtId="38" fontId="2" fillId="0" borderId="19" xfId="0" applyNumberFormat="1" applyFont="1" applyBorder="1"/>
    <xf numFmtId="38" fontId="2" fillId="3" borderId="43" xfId="0" applyNumberFormat="1" applyFont="1" applyFill="1" applyBorder="1" applyAlignment="1">
      <alignment horizontal="right"/>
    </xf>
    <xf numFmtId="38" fontId="2" fillId="0" borderId="43" xfId="0" applyNumberFormat="1" applyFont="1" applyBorder="1" applyAlignment="1">
      <alignment horizontal="right"/>
    </xf>
    <xf numFmtId="38" fontId="2" fillId="0" borderId="44" xfId="0" applyNumberFormat="1" applyFont="1" applyBorder="1" applyAlignment="1">
      <alignment horizontal="right"/>
    </xf>
    <xf numFmtId="38" fontId="2" fillId="0" borderId="45" xfId="0" applyNumberFormat="1" applyFont="1" applyBorder="1" applyAlignment="1">
      <alignment horizontal="right"/>
    </xf>
    <xf numFmtId="38" fontId="8" fillId="0" borderId="47" xfId="0" applyNumberFormat="1" applyFont="1" applyFill="1" applyBorder="1" applyAlignment="1">
      <alignment horizontal="right"/>
    </xf>
    <xf numFmtId="38" fontId="2" fillId="0" borderId="1" xfId="0" applyNumberFormat="1" applyFont="1" applyBorder="1"/>
    <xf numFmtId="38" fontId="8" fillId="0" borderId="8" xfId="0" applyNumberFormat="1" applyFont="1" applyFill="1" applyBorder="1" applyAlignment="1">
      <alignment horizontal="right"/>
    </xf>
    <xf numFmtId="0" fontId="42" fillId="0" borderId="0" xfId="0" applyFont="1" applyFill="1" applyBorder="1" applyAlignment="1"/>
    <xf numFmtId="0" fontId="43" fillId="0" borderId="0" xfId="0" applyFont="1" applyFill="1" applyBorder="1"/>
    <xf numFmtId="0" fontId="4" fillId="0" borderId="0" xfId="0" applyFont="1" applyBorder="1" applyAlignment="1"/>
    <xf numFmtId="0" fontId="0" fillId="0" borderId="0" xfId="0" applyBorder="1" applyAlignment="1">
      <alignment vertical="center"/>
    </xf>
    <xf numFmtId="0" fontId="7" fillId="0" borderId="0" xfId="0" applyFont="1" applyBorder="1" applyAlignment="1">
      <alignment vertical="center"/>
    </xf>
    <xf numFmtId="0" fontId="15" fillId="0" borderId="0" xfId="0" applyFont="1" applyBorder="1" applyAlignment="1">
      <alignment vertical="center"/>
    </xf>
    <xf numFmtId="0" fontId="15" fillId="0" borderId="21" xfId="0" applyFont="1" applyBorder="1" applyAlignment="1">
      <alignment vertical="center"/>
    </xf>
    <xf numFmtId="0" fontId="7" fillId="0" borderId="100" xfId="0" applyFont="1" applyBorder="1" applyAlignment="1">
      <alignment horizontal="centerContinuous"/>
    </xf>
    <xf numFmtId="0" fontId="6" fillId="0" borderId="101" xfId="0" applyFont="1" applyBorder="1" applyAlignment="1">
      <alignment horizontal="center"/>
    </xf>
    <xf numFmtId="0" fontId="10" fillId="0" borderId="0" xfId="0" applyFont="1" applyBorder="1" applyAlignment="1">
      <alignment horizontal="center"/>
    </xf>
    <xf numFmtId="0" fontId="10" fillId="0" borderId="85" xfId="0" applyFont="1" applyBorder="1" applyAlignment="1">
      <alignment horizontal="center"/>
    </xf>
    <xf numFmtId="0" fontId="0" fillId="0" borderId="0" xfId="0" applyBorder="1"/>
    <xf numFmtId="38" fontId="2" fillId="0" borderId="29" xfId="0" applyNumberFormat="1" applyFont="1" applyFill="1" applyBorder="1"/>
    <xf numFmtId="38" fontId="2" fillId="0" borderId="6" xfId="0" applyNumberFormat="1" applyFont="1" applyBorder="1"/>
    <xf numFmtId="0" fontId="26" fillId="0" borderId="0" xfId="0" applyFont="1" applyBorder="1" applyAlignment="1">
      <alignment horizontal="center"/>
    </xf>
    <xf numFmtId="0" fontId="25" fillId="0" borderId="0" xfId="0" applyFont="1" applyBorder="1"/>
    <xf numFmtId="0" fontId="16" fillId="0" borderId="0" xfId="0" applyFont="1" applyBorder="1"/>
    <xf numFmtId="38" fontId="8" fillId="0" borderId="0" xfId="0" applyNumberFormat="1" applyFont="1" applyBorder="1"/>
    <xf numFmtId="38" fontId="8" fillId="0" borderId="0" xfId="0" applyNumberFormat="1" applyFont="1" applyFill="1" applyBorder="1"/>
    <xf numFmtId="0" fontId="14" fillId="0" borderId="0" xfId="0" applyFont="1" applyBorder="1"/>
    <xf numFmtId="0" fontId="22" fillId="0" borderId="0" xfId="0" applyFont="1" applyBorder="1"/>
    <xf numFmtId="0" fontId="10" fillId="0" borderId="35" xfId="0" applyFont="1" applyBorder="1" applyAlignment="1"/>
    <xf numFmtId="0" fontId="4" fillId="0" borderId="29" xfId="0" applyFont="1" applyBorder="1" applyAlignment="1"/>
    <xf numFmtId="0" fontId="6" fillId="0" borderId="85" xfId="0" applyFont="1" applyBorder="1" applyAlignment="1">
      <alignment vertical="center"/>
    </xf>
    <xf numFmtId="0" fontId="14" fillId="0" borderId="0" xfId="0" applyFont="1" applyFill="1"/>
    <xf numFmtId="38" fontId="32" fillId="0" borderId="0" xfId="0" quotePrefix="1" applyNumberFormat="1" applyFont="1"/>
    <xf numFmtId="0" fontId="0" fillId="0" borderId="0" xfId="0" applyFill="1" applyBorder="1"/>
    <xf numFmtId="0" fontId="5" fillId="0" borderId="33" xfId="0" applyFont="1" applyBorder="1" applyAlignment="1">
      <alignment horizontal="center"/>
    </xf>
    <xf numFmtId="0" fontId="44" fillId="0" borderId="0" xfId="0" applyFont="1" applyAlignment="1">
      <alignment horizontal="center"/>
    </xf>
    <xf numFmtId="38" fontId="45" fillId="0" borderId="0" xfId="0" applyNumberFormat="1" applyFont="1"/>
    <xf numFmtId="0" fontId="4" fillId="0" borderId="0" xfId="0" applyFont="1" applyFill="1" applyBorder="1" applyAlignment="1">
      <alignment horizontal="center"/>
    </xf>
    <xf numFmtId="38" fontId="27" fillId="0" borderId="0" xfId="0" applyNumberFormat="1" applyFont="1" applyFill="1"/>
    <xf numFmtId="38" fontId="11" fillId="0" borderId="28" xfId="0" applyNumberFormat="1" applyFont="1" applyFill="1" applyBorder="1"/>
    <xf numFmtId="38" fontId="11" fillId="0" borderId="0" xfId="0" applyNumberFormat="1" applyFont="1" applyFill="1"/>
    <xf numFmtId="38" fontId="35" fillId="0" borderId="0" xfId="0" applyNumberFormat="1" applyFont="1" applyFill="1"/>
    <xf numFmtId="38" fontId="2" fillId="0" borderId="18" xfId="0" applyNumberFormat="1" applyFont="1" applyBorder="1"/>
    <xf numFmtId="38" fontId="2" fillId="0" borderId="102" xfId="0" applyNumberFormat="1" applyFont="1" applyBorder="1"/>
    <xf numFmtId="38" fontId="8" fillId="0" borderId="71" xfId="0" applyNumberFormat="1" applyFont="1" applyBorder="1"/>
    <xf numFmtId="38" fontId="5" fillId="0" borderId="20" xfId="0" applyNumberFormat="1" applyFont="1" applyBorder="1"/>
    <xf numFmtId="38" fontId="5" fillId="0" borderId="89" xfId="0" applyNumberFormat="1" applyFont="1" applyBorder="1"/>
    <xf numFmtId="0" fontId="7" fillId="0" borderId="85" xfId="0" applyFont="1" applyFill="1" applyBorder="1" applyAlignment="1">
      <alignment horizontal="center"/>
    </xf>
    <xf numFmtId="166" fontId="7" fillId="0" borderId="85" xfId="0" quotePrefix="1" applyNumberFormat="1" applyFont="1" applyFill="1" applyBorder="1" applyAlignment="1">
      <alignment horizontal="center"/>
    </xf>
    <xf numFmtId="38" fontId="2" fillId="0" borderId="2" xfId="0" applyNumberFormat="1" applyFont="1" applyBorder="1" applyAlignment="1">
      <alignment horizontal="right"/>
    </xf>
    <xf numFmtId="38" fontId="2" fillId="0" borderId="2" xfId="0" applyNumberFormat="1" applyFont="1" applyFill="1" applyBorder="1" applyAlignment="1">
      <alignment horizontal="right"/>
    </xf>
    <xf numFmtId="38" fontId="2" fillId="0" borderId="26" xfId="0" applyNumberFormat="1" applyFont="1" applyBorder="1"/>
    <xf numFmtId="0" fontId="4" fillId="0" borderId="103" xfId="0" applyFont="1" applyBorder="1"/>
    <xf numFmtId="38" fontId="8" fillId="0" borderId="42" xfId="0" applyNumberFormat="1" applyFont="1" applyFill="1" applyBorder="1"/>
    <xf numFmtId="38" fontId="2" fillId="0" borderId="25" xfId="0" applyNumberFormat="1" applyFont="1" applyBorder="1"/>
    <xf numFmtId="0" fontId="4" fillId="0" borderId="73" xfId="0" applyFont="1" applyBorder="1"/>
    <xf numFmtId="0" fontId="4" fillId="0" borderId="104" xfId="0" applyFont="1" applyBorder="1"/>
    <xf numFmtId="0" fontId="4" fillId="0" borderId="85" xfId="0" applyFont="1" applyBorder="1" applyAlignment="1">
      <alignment horizontal="center"/>
    </xf>
    <xf numFmtId="38" fontId="8" fillId="0" borderId="41" xfId="0" applyNumberFormat="1" applyFont="1" applyBorder="1"/>
    <xf numFmtId="38" fontId="11" fillId="0" borderId="0" xfId="0" applyNumberFormat="1" applyFont="1" applyBorder="1" applyAlignment="1">
      <alignment horizontal="right"/>
    </xf>
    <xf numFmtId="0" fontId="4" fillId="0" borderId="80" xfId="0" applyFont="1" applyBorder="1" applyAlignment="1">
      <alignment horizontal="center"/>
    </xf>
    <xf numFmtId="0" fontId="0" fillId="0" borderId="104" xfId="0" applyBorder="1"/>
    <xf numFmtId="38" fontId="2" fillId="0" borderId="97" xfId="0" applyNumberFormat="1" applyFont="1" applyBorder="1"/>
    <xf numFmtId="38" fontId="2" fillId="0" borderId="105" xfId="0" applyNumberFormat="1" applyFont="1" applyBorder="1"/>
    <xf numFmtId="38" fontId="2" fillId="0" borderId="106" xfId="0" applyNumberFormat="1" applyFont="1" applyBorder="1"/>
    <xf numFmtId="38" fontId="2" fillId="0" borderId="107" xfId="0" applyNumberFormat="1" applyFont="1" applyBorder="1"/>
    <xf numFmtId="38" fontId="8" fillId="0" borderId="108" xfId="0" applyNumberFormat="1" applyFont="1" applyBorder="1"/>
    <xf numFmtId="0" fontId="0" fillId="0" borderId="109" xfId="0" applyBorder="1"/>
    <xf numFmtId="38" fontId="2" fillId="0" borderId="109" xfId="0" applyNumberFormat="1" applyFont="1" applyBorder="1"/>
    <xf numFmtId="38" fontId="2" fillId="0" borderId="110" xfId="0" applyNumberFormat="1" applyFont="1" applyBorder="1"/>
    <xf numFmtId="38" fontId="2" fillId="0" borderId="111" xfId="0" applyNumberFormat="1" applyFont="1" applyBorder="1"/>
    <xf numFmtId="38" fontId="2" fillId="0" borderId="112" xfId="0" applyNumberFormat="1" applyFont="1" applyBorder="1"/>
    <xf numFmtId="38" fontId="8" fillId="0" borderId="113" xfId="0" applyNumberFormat="1" applyFont="1" applyBorder="1"/>
    <xf numFmtId="0" fontId="4" fillId="0" borderId="114" xfId="0" applyFont="1" applyBorder="1" applyAlignment="1">
      <alignment horizontal="center"/>
    </xf>
    <xf numFmtId="0" fontId="0" fillId="0" borderId="115" xfId="0" applyBorder="1"/>
    <xf numFmtId="38" fontId="2" fillId="0" borderId="115" xfId="0" applyNumberFormat="1" applyFont="1" applyBorder="1"/>
    <xf numFmtId="38" fontId="2" fillId="0" borderId="116" xfId="0" applyNumberFormat="1" applyFont="1" applyBorder="1"/>
    <xf numFmtId="38" fontId="2" fillId="0" borderId="117" xfId="0" applyNumberFormat="1" applyFont="1" applyBorder="1"/>
    <xf numFmtId="38" fontId="2" fillId="0" borderId="118" xfId="0" applyNumberFormat="1" applyFont="1" applyBorder="1"/>
    <xf numFmtId="38" fontId="8" fillId="0" borderId="119" xfId="0" applyNumberFormat="1" applyFont="1" applyBorder="1"/>
    <xf numFmtId="38" fontId="8" fillId="0" borderId="42" xfId="0" applyNumberFormat="1" applyFont="1" applyBorder="1"/>
    <xf numFmtId="0" fontId="10" fillId="0" borderId="102" xfId="0" applyFont="1" applyBorder="1" applyAlignment="1">
      <alignment horizontal="center"/>
    </xf>
    <xf numFmtId="0" fontId="10" fillId="0" borderId="77" xfId="0" applyFont="1" applyBorder="1" applyAlignment="1">
      <alignment horizontal="center"/>
    </xf>
    <xf numFmtId="0" fontId="10" fillId="0" borderId="78" xfId="0" applyFont="1" applyBorder="1" applyAlignment="1">
      <alignment horizontal="center"/>
    </xf>
    <xf numFmtId="0" fontId="0" fillId="0" borderId="24" xfId="0" applyBorder="1"/>
    <xf numFmtId="38" fontId="2" fillId="0" borderId="24" xfId="0" applyNumberFormat="1" applyFont="1" applyFill="1" applyBorder="1"/>
    <xf numFmtId="168" fontId="11" fillId="0" borderId="28" xfId="0" applyNumberFormat="1" applyFont="1" applyBorder="1"/>
    <xf numFmtId="164" fontId="11" fillId="0" borderId="28" xfId="1" applyNumberFormat="1" applyFont="1" applyBorder="1"/>
    <xf numFmtId="6" fontId="11" fillId="4" borderId="0" xfId="0" applyNumberFormat="1" applyFont="1" applyFill="1"/>
    <xf numFmtId="170" fontId="11" fillId="0" borderId="0" xfId="3" applyNumberFormat="1" applyFont="1"/>
    <xf numFmtId="167" fontId="2" fillId="0" borderId="0" xfId="0" applyNumberFormat="1" applyFont="1"/>
    <xf numFmtId="38" fontId="8" fillId="0" borderId="38" xfId="0" applyNumberFormat="1" applyFont="1" applyFill="1" applyBorder="1"/>
    <xf numFmtId="38" fontId="11" fillId="0" borderId="120" xfId="0" applyNumberFormat="1" applyFont="1" applyBorder="1"/>
    <xf numFmtId="0" fontId="4" fillId="0" borderId="19" xfId="0" applyFont="1" applyBorder="1" applyAlignment="1">
      <alignment horizontal="center"/>
    </xf>
    <xf numFmtId="0" fontId="4" fillId="0" borderId="102" xfId="0" applyFont="1" applyBorder="1" applyAlignment="1">
      <alignment horizontal="center"/>
    </xf>
    <xf numFmtId="0" fontId="4" fillId="0" borderId="54" xfId="0" applyFont="1" applyBorder="1" applyAlignment="1">
      <alignment horizontal="center"/>
    </xf>
    <xf numFmtId="38" fontId="2" fillId="0" borderId="19" xfId="0" applyNumberFormat="1" applyFont="1" applyFill="1" applyBorder="1"/>
    <xf numFmtId="38" fontId="2" fillId="0" borderId="70" xfId="0" applyNumberFormat="1" applyFont="1" applyBorder="1"/>
    <xf numFmtId="0" fontId="4" fillId="0" borderId="121" xfId="0" applyFont="1" applyBorder="1" applyAlignment="1">
      <alignment horizontal="center"/>
    </xf>
    <xf numFmtId="0" fontId="4" fillId="0" borderId="115" xfId="0" applyFont="1" applyBorder="1" applyAlignment="1">
      <alignment horizontal="center"/>
    </xf>
    <xf numFmtId="0" fontId="4" fillId="0" borderId="115" xfId="0" applyFont="1" applyFill="1" applyBorder="1" applyAlignment="1">
      <alignment horizontal="center"/>
    </xf>
    <xf numFmtId="38" fontId="2" fillId="0" borderId="115" xfId="0" applyNumberFormat="1" applyFont="1" applyBorder="1" applyAlignment="1">
      <alignment horizontal="right"/>
    </xf>
    <xf numFmtId="38" fontId="2" fillId="0" borderId="115" xfId="0" applyNumberFormat="1" applyFont="1" applyFill="1" applyBorder="1" applyAlignment="1">
      <alignment horizontal="right"/>
    </xf>
    <xf numFmtId="0" fontId="4" fillId="0" borderId="80" xfId="0" applyFont="1" applyFill="1" applyBorder="1" applyAlignment="1">
      <alignment horizontal="center"/>
    </xf>
    <xf numFmtId="0" fontId="4" fillId="0" borderId="78" xfId="0" applyFont="1" applyFill="1" applyBorder="1" applyAlignment="1">
      <alignment horizontal="center"/>
    </xf>
    <xf numFmtId="0" fontId="4" fillId="0" borderId="19" xfId="0" applyFont="1" applyFill="1" applyBorder="1" applyAlignment="1">
      <alignment horizontal="center"/>
    </xf>
    <xf numFmtId="0" fontId="4" fillId="0" borderId="54" xfId="0" applyFont="1" applyFill="1" applyBorder="1" applyAlignment="1">
      <alignment horizontal="center"/>
    </xf>
    <xf numFmtId="0" fontId="4" fillId="3" borderId="39" xfId="0" applyFont="1" applyFill="1" applyBorder="1" applyAlignment="1">
      <alignment horizontal="center"/>
    </xf>
    <xf numFmtId="0" fontId="4" fillId="3" borderId="115" xfId="0" applyFont="1" applyFill="1" applyBorder="1" applyAlignment="1">
      <alignment horizontal="center"/>
    </xf>
    <xf numFmtId="0" fontId="4" fillId="0" borderId="24" xfId="0" applyFont="1" applyBorder="1" applyAlignment="1">
      <alignment horizontal="center"/>
    </xf>
    <xf numFmtId="0" fontId="4" fillId="0" borderId="26" xfId="0" applyFont="1" applyBorder="1" applyAlignment="1">
      <alignment horizontal="center"/>
    </xf>
    <xf numFmtId="0" fontId="4" fillId="0" borderId="118" xfId="0" applyFont="1" applyBorder="1" applyAlignment="1">
      <alignment horizontal="center"/>
    </xf>
    <xf numFmtId="0" fontId="4" fillId="0" borderId="23" xfId="0" applyFont="1" applyBorder="1" applyAlignment="1">
      <alignment horizontal="center"/>
    </xf>
    <xf numFmtId="165" fontId="16" fillId="0" borderId="70" xfId="0" applyNumberFormat="1" applyFont="1" applyBorder="1"/>
    <xf numFmtId="38" fontId="2" fillId="0" borderId="28" xfId="0" applyNumberFormat="1" applyFont="1" applyFill="1" applyBorder="1"/>
    <xf numFmtId="38" fontId="2" fillId="0" borderId="25" xfId="0" applyNumberFormat="1" applyFont="1" applyFill="1" applyBorder="1"/>
    <xf numFmtId="38" fontId="2" fillId="0" borderId="28" xfId="0" applyNumberFormat="1" applyFont="1" applyFill="1" applyBorder="1" applyAlignment="1">
      <alignment horizontal="right"/>
    </xf>
    <xf numFmtId="38" fontId="2" fillId="0" borderId="25" xfId="0" applyNumberFormat="1" applyFont="1" applyFill="1" applyBorder="1" applyAlignment="1">
      <alignment horizontal="right"/>
    </xf>
    <xf numFmtId="38" fontId="2" fillId="0" borderId="70" xfId="0" applyNumberFormat="1" applyFont="1" applyFill="1" applyBorder="1" applyAlignment="1">
      <alignment horizontal="right"/>
    </xf>
    <xf numFmtId="38" fontId="2" fillId="0" borderId="55" xfId="0" applyNumberFormat="1" applyFont="1" applyFill="1" applyBorder="1"/>
    <xf numFmtId="38" fontId="2" fillId="0" borderId="75" xfId="0" applyNumberFormat="1" applyFont="1" applyFill="1" applyBorder="1"/>
    <xf numFmtId="38" fontId="2" fillId="0" borderId="64" xfId="0" applyNumberFormat="1" applyFont="1" applyFill="1" applyBorder="1"/>
    <xf numFmtId="38" fontId="2" fillId="0" borderId="40" xfId="0" applyNumberFormat="1" applyFont="1" applyFill="1" applyBorder="1"/>
    <xf numFmtId="38" fontId="2" fillId="0" borderId="26" xfId="0" applyNumberFormat="1" applyFont="1" applyFill="1" applyBorder="1"/>
    <xf numFmtId="38" fontId="2" fillId="0" borderId="40" xfId="0" applyNumberFormat="1" applyFont="1" applyFill="1" applyBorder="1" applyAlignment="1">
      <alignment horizontal="right"/>
    </xf>
    <xf numFmtId="38" fontId="2" fillId="0" borderId="18" xfId="0" applyNumberFormat="1" applyFont="1" applyFill="1" applyBorder="1" applyAlignment="1">
      <alignment horizontal="right"/>
    </xf>
    <xf numFmtId="38" fontId="2" fillId="0" borderId="31" xfId="0" applyNumberFormat="1" applyFont="1" applyFill="1" applyBorder="1" applyAlignment="1">
      <alignment horizontal="right"/>
    </xf>
    <xf numFmtId="38" fontId="2" fillId="0" borderId="26" xfId="0" applyNumberFormat="1" applyFont="1" applyFill="1" applyBorder="1" applyAlignment="1">
      <alignment horizontal="right"/>
    </xf>
    <xf numFmtId="38" fontId="2" fillId="0" borderId="107" xfId="0" applyNumberFormat="1" applyFont="1" applyFill="1" applyBorder="1" applyAlignment="1">
      <alignment horizontal="right"/>
    </xf>
    <xf numFmtId="38" fontId="8" fillId="0" borderId="108" xfId="0" applyNumberFormat="1" applyFont="1" applyFill="1" applyBorder="1" applyAlignment="1">
      <alignment horizontal="right"/>
    </xf>
    <xf numFmtId="0" fontId="36" fillId="0" borderId="122" xfId="0" applyNumberFormat="1" applyFont="1" applyBorder="1" applyAlignment="1">
      <alignment vertical="top"/>
    </xf>
    <xf numFmtId="0" fontId="36" fillId="0" borderId="0" xfId="0" applyNumberFormat="1" applyFont="1" applyBorder="1" applyAlignment="1">
      <alignment vertical="top"/>
    </xf>
    <xf numFmtId="10" fontId="2" fillId="0" borderId="0" xfId="5" applyNumberFormat="1" applyFont="1" applyBorder="1"/>
    <xf numFmtId="38" fontId="2" fillId="0" borderId="57" xfId="0" applyNumberFormat="1" applyFont="1" applyFill="1" applyBorder="1"/>
    <xf numFmtId="38" fontId="2" fillId="0" borderId="78" xfId="0" applyNumberFormat="1" applyFont="1" applyFill="1" applyBorder="1"/>
    <xf numFmtId="38" fontId="12" fillId="0" borderId="20" xfId="0" applyNumberFormat="1" applyFont="1" applyBorder="1"/>
    <xf numFmtId="3" fontId="24" fillId="0" borderId="2" xfId="0" applyNumberFormat="1" applyFont="1" applyBorder="1" applyAlignment="1">
      <alignment horizontal="right"/>
    </xf>
    <xf numFmtId="38" fontId="24" fillId="0" borderId="0" xfId="0" applyNumberFormat="1" applyFont="1" applyBorder="1" applyAlignment="1">
      <alignment horizontal="right"/>
    </xf>
    <xf numFmtId="38" fontId="24" fillId="0" borderId="21" xfId="0" applyNumberFormat="1" applyFont="1" applyBorder="1" applyAlignment="1">
      <alignment horizontal="right"/>
    </xf>
    <xf numFmtId="38" fontId="24" fillId="0" borderId="21" xfId="0" applyNumberFormat="1" applyFont="1" applyFill="1" applyBorder="1" applyAlignment="1">
      <alignment horizontal="right"/>
    </xf>
    <xf numFmtId="38" fontId="37" fillId="0" borderId="19" xfId="0" applyNumberFormat="1" applyFont="1" applyBorder="1" applyAlignment="1">
      <alignment horizontal="right"/>
    </xf>
    <xf numFmtId="38" fontId="24" fillId="0" borderId="24" xfId="0" applyNumberFormat="1" applyFont="1" applyBorder="1" applyAlignment="1">
      <alignment horizontal="right"/>
    </xf>
    <xf numFmtId="38" fontId="24" fillId="0" borderId="109" xfId="0" applyNumberFormat="1" applyFont="1" applyBorder="1" applyAlignment="1">
      <alignment horizontal="right"/>
    </xf>
    <xf numFmtId="38" fontId="24" fillId="0" borderId="115" xfId="0" applyNumberFormat="1" applyFont="1" applyBorder="1" applyAlignment="1">
      <alignment horizontal="right"/>
    </xf>
    <xf numFmtId="38" fontId="24" fillId="0" borderId="97" xfId="0" applyNumberFormat="1" applyFont="1" applyBorder="1" applyAlignment="1">
      <alignment horizontal="right"/>
    </xf>
    <xf numFmtId="38" fontId="3" fillId="0" borderId="0" xfId="0" applyNumberFormat="1" applyFont="1" applyFill="1" applyBorder="1"/>
    <xf numFmtId="38" fontId="3" fillId="0" borderId="24" xfId="0" applyNumberFormat="1" applyFont="1" applyFill="1" applyBorder="1"/>
    <xf numFmtId="3" fontId="2" fillId="0" borderId="45" xfId="0" applyNumberFormat="1" applyFont="1" applyBorder="1" applyAlignment="1">
      <alignment horizontal="right"/>
    </xf>
    <xf numFmtId="3" fontId="2" fillId="0" borderId="26" xfId="0" applyNumberFormat="1" applyFont="1" applyBorder="1" applyAlignment="1">
      <alignment horizontal="right"/>
    </xf>
    <xf numFmtId="38" fontId="2" fillId="0" borderId="112" xfId="0" applyNumberFormat="1" applyFont="1" applyBorder="1" applyAlignment="1">
      <alignment horizontal="right"/>
    </xf>
    <xf numFmtId="38" fontId="2" fillId="0" borderId="118" xfId="0" applyNumberFormat="1" applyFont="1" applyBorder="1" applyAlignment="1">
      <alignment horizontal="right"/>
    </xf>
    <xf numFmtId="38" fontId="16" fillId="0" borderId="95" xfId="0" applyNumberFormat="1" applyFont="1" applyFill="1" applyBorder="1"/>
    <xf numFmtId="38" fontId="2" fillId="0" borderId="23" xfId="0" applyNumberFormat="1" applyFont="1" applyFill="1" applyBorder="1"/>
    <xf numFmtId="38" fontId="2" fillId="0" borderId="123" xfId="0" applyNumberFormat="1" applyFont="1" applyBorder="1"/>
    <xf numFmtId="38" fontId="2" fillId="0" borderId="124" xfId="0" applyNumberFormat="1" applyFont="1" applyBorder="1"/>
    <xf numFmtId="0" fontId="4" fillId="0" borderId="35" xfId="0" applyFont="1" applyBorder="1"/>
    <xf numFmtId="38" fontId="2" fillId="0" borderId="37" xfId="0" applyNumberFormat="1" applyFont="1" applyBorder="1"/>
    <xf numFmtId="38" fontId="2" fillId="0" borderId="22" xfId="0" applyNumberFormat="1" applyFont="1" applyFill="1" applyBorder="1"/>
    <xf numFmtId="38" fontId="2" fillId="0" borderId="21" xfId="0" applyNumberFormat="1" applyFont="1" applyFill="1" applyBorder="1"/>
    <xf numFmtId="3" fontId="24" fillId="0" borderId="21" xfId="0" applyNumberFormat="1" applyFont="1" applyFill="1" applyBorder="1" applyAlignment="1">
      <alignment horizontal="right"/>
    </xf>
    <xf numFmtId="0" fontId="5" fillId="0" borderId="125" xfId="0" applyFont="1" applyBorder="1" applyAlignment="1">
      <alignment horizontal="center"/>
    </xf>
    <xf numFmtId="0" fontId="24" fillId="0" borderId="21" xfId="0" applyFont="1" applyBorder="1" applyAlignment="1">
      <alignment horizontal="center"/>
    </xf>
    <xf numFmtId="0" fontId="7" fillId="0" borderId="0" xfId="0" applyFont="1" applyAlignment="1">
      <alignment horizontal="center"/>
    </xf>
    <xf numFmtId="0" fontId="13" fillId="0" borderId="0" xfId="0" applyFont="1" applyAlignment="1">
      <alignment horizontal="center"/>
    </xf>
    <xf numFmtId="0" fontId="7" fillId="0" borderId="0" xfId="0" applyFont="1" applyFill="1" applyAlignment="1">
      <alignment horizontal="center"/>
    </xf>
    <xf numFmtId="38" fontId="2" fillId="0" borderId="126" xfId="0" applyNumberFormat="1" applyFont="1" applyBorder="1"/>
    <xf numFmtId="10" fontId="11" fillId="0" borderId="0" xfId="0" applyNumberFormat="1" applyFont="1" applyBorder="1"/>
    <xf numFmtId="0" fontId="4" fillId="2" borderId="20" xfId="0" applyFont="1" applyFill="1" applyBorder="1"/>
    <xf numFmtId="0" fontId="4" fillId="5" borderId="20" xfId="0" applyFont="1" applyFill="1" applyBorder="1"/>
    <xf numFmtId="0" fontId="0" fillId="2" borderId="20" xfId="0" applyFill="1" applyBorder="1"/>
    <xf numFmtId="0" fontId="3" fillId="2" borderId="20" xfId="0" applyFont="1" applyFill="1" applyBorder="1"/>
    <xf numFmtId="0" fontId="0" fillId="0" borderId="94" xfId="0" applyFill="1" applyBorder="1"/>
    <xf numFmtId="164" fontId="16" fillId="0" borderId="20" xfId="0" applyNumberFormat="1" applyFont="1" applyFill="1" applyBorder="1"/>
    <xf numFmtId="164" fontId="16" fillId="0" borderId="89" xfId="0" applyNumberFormat="1" applyFont="1" applyFill="1" applyBorder="1"/>
    <xf numFmtId="164" fontId="16" fillId="0" borderId="17" xfId="0" applyNumberFormat="1" applyFont="1" applyFill="1" applyBorder="1"/>
    <xf numFmtId="0" fontId="16" fillId="0" borderId="20" xfId="0" applyFont="1" applyFill="1" applyBorder="1"/>
    <xf numFmtId="164" fontId="16" fillId="0" borderId="17" xfId="1" applyNumberFormat="1" applyFont="1" applyFill="1" applyBorder="1"/>
    <xf numFmtId="0" fontId="16" fillId="0" borderId="102" xfId="0" applyFont="1" applyBorder="1"/>
    <xf numFmtId="38" fontId="2" fillId="0" borderId="52" xfId="0" applyNumberFormat="1" applyFont="1" applyFill="1" applyBorder="1"/>
    <xf numFmtId="0" fontId="4" fillId="3" borderId="0" xfId="0" applyFont="1" applyFill="1" applyBorder="1" applyAlignment="1">
      <alignment horizontal="center"/>
    </xf>
    <xf numFmtId="0" fontId="4" fillId="0" borderId="127" xfId="0" applyFont="1" applyBorder="1" applyAlignment="1">
      <alignment horizontal="center"/>
    </xf>
    <xf numFmtId="0" fontId="4" fillId="3" borderId="109" xfId="0" applyFont="1" applyFill="1" applyBorder="1" applyAlignment="1">
      <alignment horizontal="center"/>
    </xf>
    <xf numFmtId="0" fontId="4" fillId="0" borderId="128" xfId="0" applyFont="1" applyBorder="1" applyAlignment="1">
      <alignment horizontal="center"/>
    </xf>
    <xf numFmtId="0" fontId="14" fillId="4" borderId="0" xfId="0" applyFont="1" applyFill="1"/>
    <xf numFmtId="0" fontId="42" fillId="0" borderId="0" xfId="0" applyFont="1" applyAlignment="1">
      <alignment horizontal="center"/>
    </xf>
    <xf numFmtId="3" fontId="2" fillId="0" borderId="0" xfId="0" applyNumberFormat="1" applyFont="1" applyBorder="1" applyAlignment="1">
      <alignment horizontal="right"/>
    </xf>
    <xf numFmtId="3" fontId="2" fillId="0" borderId="24" xfId="0" applyNumberFormat="1" applyFont="1" applyBorder="1" applyAlignment="1">
      <alignment horizontal="right"/>
    </xf>
    <xf numFmtId="3" fontId="2" fillId="0" borderId="19" xfId="0" applyNumberFormat="1" applyFont="1" applyBorder="1" applyAlignment="1">
      <alignment horizontal="right"/>
    </xf>
    <xf numFmtId="38" fontId="2" fillId="0" borderId="109" xfId="0" applyNumberFormat="1" applyFont="1" applyBorder="1" applyAlignment="1">
      <alignment horizontal="right"/>
    </xf>
    <xf numFmtId="38" fontId="2" fillId="0" borderId="2" xfId="0" applyNumberFormat="1" applyFont="1" applyFill="1" applyBorder="1"/>
    <xf numFmtId="3" fontId="2" fillId="0" borderId="40" xfId="0" applyNumberFormat="1" applyFont="1" applyBorder="1" applyAlignment="1">
      <alignment horizontal="right"/>
    </xf>
    <xf numFmtId="3" fontId="2" fillId="0" borderId="18" xfId="0" applyNumberFormat="1" applyFont="1" applyBorder="1" applyAlignment="1">
      <alignment horizontal="right"/>
    </xf>
    <xf numFmtId="0" fontId="3" fillId="2" borderId="17" xfId="0" applyFont="1" applyFill="1" applyBorder="1"/>
    <xf numFmtId="0" fontId="44" fillId="4" borderId="27" xfId="0" applyFont="1" applyFill="1" applyBorder="1" applyAlignment="1">
      <alignment horizontal="center"/>
    </xf>
    <xf numFmtId="0" fontId="6" fillId="4" borderId="11" xfId="0" applyFont="1" applyFill="1" applyBorder="1" applyAlignment="1">
      <alignment horizontal="center"/>
    </xf>
    <xf numFmtId="0" fontId="6" fillId="4" borderId="21" xfId="0" applyFont="1" applyFill="1" applyBorder="1" applyAlignment="1">
      <alignment horizontal="center"/>
    </xf>
    <xf numFmtId="0" fontId="6" fillId="4" borderId="36" xfId="0" applyFont="1" applyFill="1" applyBorder="1" applyAlignment="1">
      <alignment horizontal="center"/>
    </xf>
    <xf numFmtId="0" fontId="12" fillId="4" borderId="21" xfId="0" applyFont="1" applyFill="1" applyBorder="1"/>
    <xf numFmtId="38" fontId="8" fillId="4" borderId="21" xfId="0" applyNumberFormat="1" applyFont="1" applyFill="1" applyBorder="1"/>
    <xf numFmtId="38" fontId="8" fillId="4" borderId="37" xfId="0" applyNumberFormat="1" applyFont="1" applyFill="1" applyBorder="1"/>
    <xf numFmtId="38" fontId="8" fillId="4" borderId="23" xfId="0" applyNumberFormat="1" applyFont="1" applyFill="1" applyBorder="1"/>
    <xf numFmtId="167" fontId="8" fillId="4" borderId="21" xfId="0" applyNumberFormat="1" applyFont="1" applyFill="1" applyBorder="1"/>
    <xf numFmtId="38" fontId="8" fillId="4" borderId="38" xfId="0" applyNumberFormat="1" applyFont="1" applyFill="1" applyBorder="1"/>
    <xf numFmtId="164" fontId="2" fillId="4" borderId="11" xfId="1" applyNumberFormat="1" applyFont="1" applyFill="1" applyBorder="1"/>
    <xf numFmtId="38" fontId="2" fillId="4" borderId="12" xfId="0" applyNumberFormat="1" applyFont="1" applyFill="1" applyBorder="1"/>
    <xf numFmtId="38" fontId="2" fillId="4" borderId="13" xfId="0" applyNumberFormat="1" applyFont="1" applyFill="1" applyBorder="1"/>
    <xf numFmtId="38" fontId="2" fillId="4" borderId="14" xfId="0" applyNumberFormat="1" applyFont="1" applyFill="1" applyBorder="1"/>
    <xf numFmtId="38" fontId="2" fillId="4" borderId="11" xfId="0" applyNumberFormat="1" applyFont="1" applyFill="1" applyBorder="1"/>
    <xf numFmtId="38" fontId="2" fillId="4" borderId="129" xfId="0" applyNumberFormat="1" applyFont="1" applyFill="1" applyBorder="1"/>
    <xf numFmtId="38" fontId="8" fillId="4" borderId="16" xfId="0" applyNumberFormat="1" applyFont="1" applyFill="1" applyBorder="1"/>
    <xf numFmtId="0" fontId="10" fillId="4" borderId="103" xfId="0" applyFont="1" applyFill="1" applyBorder="1" applyAlignment="1">
      <alignment horizontal="center"/>
    </xf>
    <xf numFmtId="0" fontId="10" fillId="4" borderId="11" xfId="0" applyFont="1" applyFill="1" applyBorder="1" applyAlignment="1"/>
    <xf numFmtId="0" fontId="10" fillId="4" borderId="11" xfId="0" applyFont="1" applyFill="1" applyBorder="1" applyAlignment="1">
      <alignment horizontal="center"/>
    </xf>
    <xf numFmtId="0" fontId="10" fillId="4" borderId="33" xfId="0" applyFont="1" applyFill="1" applyBorder="1" applyAlignment="1">
      <alignment horizontal="center"/>
    </xf>
    <xf numFmtId="0" fontId="0" fillId="4" borderId="11" xfId="0" applyFill="1" applyBorder="1"/>
    <xf numFmtId="38" fontId="2" fillId="4" borderId="56" xfId="0" applyNumberFormat="1" applyFont="1" applyFill="1" applyBorder="1"/>
    <xf numFmtId="38" fontId="2" fillId="4" borderId="62" xfId="0" applyNumberFormat="1" applyFont="1" applyFill="1" applyBorder="1"/>
    <xf numFmtId="38" fontId="2" fillId="4" borderId="63" xfId="0" applyNumberFormat="1" applyFont="1" applyFill="1" applyBorder="1"/>
    <xf numFmtId="38" fontId="2" fillId="4" borderId="65" xfId="0" applyNumberFormat="1" applyFont="1" applyFill="1" applyBorder="1"/>
    <xf numFmtId="38" fontId="24" fillId="4" borderId="21" xfId="0" applyNumberFormat="1" applyFont="1" applyFill="1" applyBorder="1" applyAlignment="1">
      <alignment horizontal="right"/>
    </xf>
    <xf numFmtId="38" fontId="2" fillId="4" borderId="45" xfId="0" applyNumberFormat="1" applyFont="1" applyFill="1" applyBorder="1"/>
    <xf numFmtId="38" fontId="8" fillId="4" borderId="67" xfId="0" applyNumberFormat="1" applyFont="1" applyFill="1" applyBorder="1"/>
    <xf numFmtId="0" fontId="6" fillId="4" borderId="27" xfId="0" applyFont="1" applyFill="1" applyBorder="1" applyAlignment="1"/>
    <xf numFmtId="0" fontId="4" fillId="4" borderId="11" xfId="0" applyFont="1" applyFill="1" applyBorder="1" applyAlignment="1"/>
    <xf numFmtId="38" fontId="24" fillId="4" borderId="11" xfId="0" applyNumberFormat="1" applyFont="1" applyFill="1" applyBorder="1" applyAlignment="1">
      <alignment horizontal="right"/>
    </xf>
    <xf numFmtId="38" fontId="24" fillId="0" borderId="81" xfId="0" applyNumberFormat="1" applyFont="1" applyBorder="1"/>
    <xf numFmtId="3" fontId="2" fillId="0" borderId="2" xfId="0" applyNumberFormat="1" applyFont="1" applyBorder="1" applyAlignment="1">
      <alignment horizontal="right"/>
    </xf>
    <xf numFmtId="38" fontId="2" fillId="0" borderId="130" xfId="0" applyNumberFormat="1" applyFont="1" applyBorder="1" applyAlignment="1">
      <alignment horizontal="right"/>
    </xf>
    <xf numFmtId="38" fontId="2" fillId="0" borderId="82" xfId="0" applyNumberFormat="1" applyFont="1" applyFill="1" applyBorder="1"/>
    <xf numFmtId="38" fontId="37" fillId="0" borderId="29" xfId="0" applyNumberFormat="1" applyFont="1" applyBorder="1"/>
    <xf numFmtId="38" fontId="24" fillId="0" borderId="20" xfId="0" applyNumberFormat="1" applyFont="1" applyFill="1" applyBorder="1" applyAlignment="1">
      <alignment horizontal="right"/>
    </xf>
    <xf numFmtId="38" fontId="24" fillId="0" borderId="20" xfId="0" applyNumberFormat="1" applyFont="1" applyBorder="1"/>
    <xf numFmtId="3" fontId="2" fillId="0" borderId="39" xfId="0" applyNumberFormat="1" applyFont="1" applyBorder="1" applyAlignment="1">
      <alignment horizontal="right"/>
    </xf>
    <xf numFmtId="3" fontId="2" fillId="0" borderId="97" xfId="0" applyNumberFormat="1" applyFont="1" applyBorder="1" applyAlignment="1">
      <alignment horizontal="right"/>
    </xf>
    <xf numFmtId="38" fontId="2" fillId="0" borderId="21" xfId="0" applyNumberFormat="1" applyFont="1" applyFill="1" applyBorder="1" applyAlignment="1">
      <alignment horizontal="right"/>
    </xf>
    <xf numFmtId="38" fontId="24" fillId="0" borderId="82" xfId="0" applyNumberFormat="1" applyFont="1" applyBorder="1"/>
    <xf numFmtId="38" fontId="33" fillId="0" borderId="0" xfId="0" quotePrefix="1" applyNumberFormat="1" applyFont="1" applyFill="1" applyAlignment="1"/>
    <xf numFmtId="165" fontId="16" fillId="0" borderId="71" xfId="0" applyNumberFormat="1" applyFont="1" applyBorder="1"/>
    <xf numFmtId="10" fontId="16" fillId="0" borderId="28" xfId="7" applyNumberFormat="1" applyFont="1" applyBorder="1"/>
    <xf numFmtId="165" fontId="16" fillId="0" borderId="64" xfId="0" applyNumberFormat="1" applyFont="1" applyBorder="1"/>
    <xf numFmtId="0" fontId="5" fillId="0" borderId="11" xfId="0" applyFont="1" applyFill="1" applyBorder="1" applyAlignment="1">
      <alignment horizontal="right"/>
    </xf>
    <xf numFmtId="0" fontId="10" fillId="4" borderId="15" xfId="0" applyFont="1" applyFill="1" applyBorder="1" applyAlignment="1">
      <alignment horizontal="center"/>
    </xf>
    <xf numFmtId="0" fontId="10" fillId="4" borderId="11" xfId="0" applyFont="1" applyFill="1" applyBorder="1" applyAlignment="1">
      <alignment horizontal="right"/>
    </xf>
    <xf numFmtId="164" fontId="2" fillId="4" borderId="27" xfId="1" applyNumberFormat="1" applyFont="1" applyFill="1" applyBorder="1"/>
    <xf numFmtId="38" fontId="24" fillId="4" borderId="11" xfId="0" applyNumberFormat="1" applyFont="1" applyFill="1" applyBorder="1"/>
    <xf numFmtId="0" fontId="6" fillId="0" borderId="101" xfId="0" applyFont="1" applyFill="1" applyBorder="1" applyAlignment="1">
      <alignment horizontal="center"/>
    </xf>
    <xf numFmtId="0" fontId="24" fillId="0" borderId="11" xfId="0" applyFont="1" applyFill="1" applyBorder="1" applyAlignment="1">
      <alignment horizontal="center"/>
    </xf>
    <xf numFmtId="0" fontId="24" fillId="0" borderId="33" xfId="0" applyFont="1" applyFill="1" applyBorder="1" applyAlignment="1">
      <alignment horizontal="center"/>
    </xf>
    <xf numFmtId="168" fontId="4" fillId="0" borderId="11" xfId="0" applyNumberFormat="1" applyFont="1" applyFill="1" applyBorder="1"/>
    <xf numFmtId="164" fontId="2" fillId="0" borderId="11" xfId="1" applyNumberFormat="1" applyFont="1" applyFill="1" applyBorder="1"/>
    <xf numFmtId="38" fontId="2" fillId="0" borderId="12" xfId="0" applyNumberFormat="1" applyFont="1" applyFill="1" applyBorder="1"/>
    <xf numFmtId="38" fontId="2" fillId="0" borderId="13" xfId="0" applyNumberFormat="1" applyFont="1" applyFill="1" applyBorder="1"/>
    <xf numFmtId="38" fontId="2" fillId="0" borderId="14" xfId="0" applyNumberFormat="1" applyFont="1" applyFill="1" applyBorder="1"/>
    <xf numFmtId="38" fontId="2" fillId="0" borderId="11" xfId="0" applyNumberFormat="1" applyFont="1" applyFill="1" applyBorder="1"/>
    <xf numFmtId="3" fontId="24" fillId="0" borderId="2" xfId="0" applyNumberFormat="1" applyFont="1" applyFill="1" applyBorder="1" applyAlignment="1">
      <alignment horizontal="right"/>
    </xf>
    <xf numFmtId="3" fontId="2" fillId="0" borderId="2" xfId="0" applyNumberFormat="1" applyFont="1" applyFill="1" applyBorder="1" applyAlignment="1">
      <alignment horizontal="right"/>
    </xf>
    <xf numFmtId="3" fontId="2" fillId="0" borderId="45" xfId="0" applyNumberFormat="1" applyFont="1" applyFill="1" applyBorder="1" applyAlignment="1">
      <alignment horizontal="right"/>
    </xf>
    <xf numFmtId="38" fontId="2" fillId="0" borderId="129" xfId="0" applyNumberFormat="1" applyFont="1" applyFill="1" applyBorder="1"/>
    <xf numFmtId="38" fontId="2" fillId="0" borderId="15" xfId="0" applyNumberFormat="1" applyFont="1" applyFill="1" applyBorder="1"/>
    <xf numFmtId="38" fontId="8" fillId="0" borderId="16" xfId="0" applyNumberFormat="1" applyFont="1" applyFill="1" applyBorder="1"/>
    <xf numFmtId="0" fontId="6" fillId="6" borderId="101" xfId="0" applyFont="1" applyFill="1" applyBorder="1" applyAlignment="1">
      <alignment horizontal="center"/>
    </xf>
    <xf numFmtId="0" fontId="5" fillId="6" borderId="11" xfId="0" applyFont="1" applyFill="1" applyBorder="1" applyAlignment="1">
      <alignment horizontal="center"/>
    </xf>
    <xf numFmtId="0" fontId="5" fillId="6" borderId="33" xfId="0" applyFont="1" applyFill="1" applyBorder="1" applyAlignment="1">
      <alignment horizontal="center"/>
    </xf>
    <xf numFmtId="0" fontId="24" fillId="6" borderId="11" xfId="0" applyFont="1" applyFill="1" applyBorder="1" applyAlignment="1">
      <alignment horizontal="center"/>
    </xf>
    <xf numFmtId="0" fontId="24" fillId="6" borderId="33" xfId="0" applyFont="1" applyFill="1" applyBorder="1" applyAlignment="1">
      <alignment horizontal="center"/>
    </xf>
    <xf numFmtId="38" fontId="9" fillId="4" borderId="0" xfId="0" applyNumberFormat="1" applyFont="1" applyFill="1" applyAlignment="1">
      <alignment horizontal="left"/>
    </xf>
    <xf numFmtId="38" fontId="14" fillId="0" borderId="0" xfId="0" applyNumberFormat="1" applyFont="1" applyAlignment="1">
      <alignment horizontal="left"/>
    </xf>
    <xf numFmtId="38" fontId="9" fillId="0" borderId="0" xfId="0" applyNumberFormat="1" applyFont="1" applyAlignment="1">
      <alignment horizontal="left"/>
    </xf>
    <xf numFmtId="38" fontId="14" fillId="0" borderId="0" xfId="0" applyNumberFormat="1" applyFont="1" applyAlignment="1">
      <alignment horizontal="center"/>
    </xf>
    <xf numFmtId="0" fontId="42" fillId="0" borderId="0" xfId="0" applyFont="1" applyAlignment="1">
      <alignment horizontal="center"/>
    </xf>
    <xf numFmtId="0" fontId="42" fillId="0" borderId="0" xfId="0" applyFont="1" applyFill="1" applyBorder="1" applyAlignment="1">
      <alignment horizontal="center"/>
    </xf>
    <xf numFmtId="0" fontId="0" fillId="0" borderId="131" xfId="0" applyFill="1" applyBorder="1"/>
    <xf numFmtId="0" fontId="4" fillId="7" borderId="27" xfId="0" applyFont="1" applyFill="1" applyBorder="1" applyAlignment="1"/>
    <xf numFmtId="0" fontId="4" fillId="7" borderId="11" xfId="0" applyFont="1" applyFill="1" applyBorder="1"/>
    <xf numFmtId="0" fontId="4" fillId="8" borderId="0" xfId="0" applyFont="1" applyFill="1" applyBorder="1" applyAlignment="1"/>
    <xf numFmtId="0" fontId="4" fillId="8" borderId="0" xfId="0" applyFont="1" applyFill="1" applyBorder="1" applyAlignment="1">
      <alignment horizontal="center"/>
    </xf>
    <xf numFmtId="0" fontId="0" fillId="8" borderId="0" xfId="0" applyFill="1" applyBorder="1"/>
    <xf numFmtId="0" fontId="3" fillId="8" borderId="0" xfId="0" applyFont="1" applyFill="1" applyBorder="1"/>
    <xf numFmtId="0" fontId="3" fillId="8" borderId="40" xfId="0" applyFont="1" applyFill="1" applyBorder="1"/>
    <xf numFmtId="0" fontId="3" fillId="8" borderId="132" xfId="0" applyFont="1" applyFill="1" applyBorder="1"/>
    <xf numFmtId="0" fontId="0" fillId="0" borderId="94" xfId="0" applyBorder="1"/>
    <xf numFmtId="3" fontId="3" fillId="0" borderId="20" xfId="5" applyNumberFormat="1" applyFont="1" applyBorder="1"/>
    <xf numFmtId="3" fontId="3" fillId="0" borderId="133" xfId="0" applyNumberFormat="1" applyFont="1" applyBorder="1"/>
    <xf numFmtId="3" fontId="3" fillId="0" borderId="20" xfId="0" applyNumberFormat="1" applyFont="1" applyBorder="1"/>
    <xf numFmtId="3" fontId="3" fillId="0" borderId="134" xfId="0" applyNumberFormat="1" applyFont="1" applyBorder="1"/>
    <xf numFmtId="3" fontId="3" fillId="0" borderId="17" xfId="0" applyNumberFormat="1" applyFont="1" applyBorder="1"/>
    <xf numFmtId="169" fontId="3" fillId="0" borderId="20" xfId="0" applyNumberFormat="1" applyFont="1" applyBorder="1"/>
    <xf numFmtId="164" fontId="3" fillId="0" borderId="20" xfId="0" applyNumberFormat="1" applyFont="1" applyBorder="1"/>
    <xf numFmtId="3" fontId="3" fillId="0" borderId="81" xfId="0" applyNumberFormat="1" applyFont="1" applyBorder="1"/>
    <xf numFmtId="40" fontId="11" fillId="0" borderId="0" xfId="0" applyNumberFormat="1" applyFont="1"/>
    <xf numFmtId="6" fontId="11" fillId="0" borderId="0" xfId="0" applyNumberFormat="1" applyFont="1" applyFill="1"/>
    <xf numFmtId="0" fontId="46" fillId="7" borderId="11" xfId="0" applyFont="1" applyFill="1" applyBorder="1" applyAlignment="1">
      <alignment horizontal="center"/>
    </xf>
    <xf numFmtId="0" fontId="46" fillId="7" borderId="33" xfId="0" applyFont="1" applyFill="1" applyBorder="1" applyAlignment="1">
      <alignment horizontal="center"/>
    </xf>
    <xf numFmtId="38" fontId="11" fillId="0" borderId="135" xfId="0" applyNumberFormat="1" applyFont="1" applyFill="1" applyBorder="1"/>
    <xf numFmtId="6" fontId="11" fillId="0" borderId="0" xfId="0" applyNumberFormat="1" applyFont="1" applyBorder="1"/>
    <xf numFmtId="0" fontId="11" fillId="0" borderId="0" xfId="0" applyFont="1" applyBorder="1"/>
    <xf numFmtId="0" fontId="44" fillId="0" borderId="0" xfId="0" applyFont="1" applyBorder="1" applyAlignment="1">
      <alignment horizontal="center"/>
    </xf>
    <xf numFmtId="0" fontId="4" fillId="0" borderId="40" xfId="0" applyFont="1" applyBorder="1" applyAlignment="1">
      <alignment horizontal="center"/>
    </xf>
    <xf numFmtId="165" fontId="16" fillId="0" borderId="0" xfId="0" applyNumberFormat="1" applyFont="1" applyBorder="1"/>
    <xf numFmtId="165" fontId="16" fillId="0" borderId="28" xfId="0" applyNumberFormat="1" applyFont="1" applyBorder="1"/>
    <xf numFmtId="165" fontId="16" fillId="0" borderId="40" xfId="0" applyNumberFormat="1" applyFont="1" applyBorder="1"/>
    <xf numFmtId="38" fontId="37" fillId="0" borderId="0" xfId="0" applyNumberFormat="1" applyFont="1" applyBorder="1" applyAlignment="1">
      <alignment horizontal="right"/>
    </xf>
    <xf numFmtId="165" fontId="16" fillId="0" borderId="41" xfId="0" applyNumberFormat="1" applyFont="1" applyBorder="1"/>
    <xf numFmtId="6" fontId="11" fillId="0" borderId="175" xfId="0" applyNumberFormat="1" applyFont="1" applyBorder="1"/>
    <xf numFmtId="0" fontId="14" fillId="0" borderId="176" xfId="0" applyFont="1" applyBorder="1"/>
    <xf numFmtId="0" fontId="4" fillId="8" borderId="20" xfId="0" applyFont="1" applyFill="1" applyBorder="1"/>
    <xf numFmtId="0" fontId="0" fillId="8" borderId="20" xfId="0" applyFill="1" applyBorder="1"/>
    <xf numFmtId="0" fontId="3" fillId="8" borderId="20" xfId="0" applyFont="1" applyFill="1" applyBorder="1"/>
    <xf numFmtId="0" fontId="3" fillId="8" borderId="17" xfId="0" applyFont="1" applyFill="1" applyBorder="1"/>
    <xf numFmtId="165" fontId="16" fillId="0" borderId="136" xfId="0" applyNumberFormat="1" applyFont="1" applyBorder="1"/>
    <xf numFmtId="165" fontId="16" fillId="0" borderId="137" xfId="0" applyNumberFormat="1" applyFont="1" applyBorder="1"/>
    <xf numFmtId="0" fontId="10" fillId="7" borderId="0" xfId="0" applyFont="1" applyFill="1" applyBorder="1" applyAlignment="1">
      <alignment horizontal="center"/>
    </xf>
    <xf numFmtId="0" fontId="0" fillId="0" borderId="57" xfId="0" applyBorder="1"/>
    <xf numFmtId="0" fontId="0" fillId="0" borderId="176" xfId="0" applyBorder="1"/>
    <xf numFmtId="165" fontId="3" fillId="0" borderId="0" xfId="0" applyNumberFormat="1" applyFont="1" applyBorder="1"/>
    <xf numFmtId="165" fontId="3" fillId="0" borderId="136" xfId="0" applyNumberFormat="1" applyFont="1" applyBorder="1"/>
    <xf numFmtId="165" fontId="3" fillId="0" borderId="138" xfId="0" applyNumberFormat="1" applyFont="1" applyBorder="1"/>
    <xf numFmtId="165" fontId="3" fillId="0" borderId="40" xfId="0" applyNumberFormat="1" applyFont="1" applyBorder="1"/>
    <xf numFmtId="165" fontId="3" fillId="0" borderId="69" xfId="0" applyNumberFormat="1" applyFont="1" applyBorder="1"/>
    <xf numFmtId="38" fontId="11" fillId="0" borderId="139" xfId="0" applyNumberFormat="1" applyFont="1" applyFill="1" applyBorder="1"/>
    <xf numFmtId="38" fontId="11" fillId="0" borderId="140" xfId="0" applyNumberFormat="1" applyFont="1" applyFill="1" applyBorder="1"/>
    <xf numFmtId="38" fontId="11" fillId="0" borderId="141" xfId="0" applyNumberFormat="1" applyFont="1" applyFill="1" applyBorder="1"/>
    <xf numFmtId="38" fontId="11" fillId="0" borderId="142" xfId="0" applyNumberFormat="1" applyFont="1" applyFill="1" applyBorder="1"/>
    <xf numFmtId="0" fontId="47" fillId="8" borderId="0" xfId="0" applyFont="1" applyFill="1" applyBorder="1" applyAlignment="1">
      <alignment horizontal="center" wrapText="1"/>
    </xf>
    <xf numFmtId="0" fontId="47" fillId="8" borderId="0" xfId="0" applyFont="1" applyFill="1" applyBorder="1" applyAlignment="1">
      <alignment horizontal="center"/>
    </xf>
    <xf numFmtId="0" fontId="48" fillId="8" borderId="0" xfId="0" applyFont="1" applyFill="1" applyBorder="1"/>
    <xf numFmtId="165" fontId="49" fillId="8" borderId="0" xfId="0" applyNumberFormat="1" applyFont="1" applyFill="1" applyBorder="1"/>
    <xf numFmtId="0" fontId="10" fillId="0" borderId="177" xfId="0" applyFont="1" applyBorder="1" applyAlignment="1">
      <alignment horizontal="center"/>
    </xf>
    <xf numFmtId="38" fontId="3" fillId="0" borderId="178" xfId="0" applyNumberFormat="1" applyFont="1" applyBorder="1"/>
    <xf numFmtId="38" fontId="3" fillId="0" borderId="179" xfId="0" applyNumberFormat="1" applyFont="1" applyBorder="1"/>
    <xf numFmtId="38" fontId="3" fillId="0" borderId="177" xfId="0" applyNumberFormat="1" applyFont="1" applyBorder="1"/>
    <xf numFmtId="0" fontId="46" fillId="8" borderId="57" xfId="0" applyFont="1" applyFill="1" applyBorder="1" applyAlignment="1">
      <alignment horizontal="center"/>
    </xf>
    <xf numFmtId="165" fontId="49" fillId="8" borderId="69" xfId="0" applyNumberFormat="1" applyFont="1" applyFill="1" applyBorder="1"/>
    <xf numFmtId="0" fontId="16" fillId="7" borderId="27" xfId="0" applyFont="1" applyFill="1" applyBorder="1"/>
    <xf numFmtId="0" fontId="0" fillId="7" borderId="35" xfId="0" applyFill="1" applyBorder="1"/>
    <xf numFmtId="38" fontId="11" fillId="7" borderId="11" xfId="0" applyNumberFormat="1" applyFont="1" applyFill="1" applyBorder="1"/>
    <xf numFmtId="38" fontId="11" fillId="7" borderId="21" xfId="0" applyNumberFormat="1" applyFont="1" applyFill="1" applyBorder="1"/>
    <xf numFmtId="38" fontId="11" fillId="7" borderId="143" xfId="0" applyNumberFormat="1" applyFont="1" applyFill="1" applyBorder="1"/>
    <xf numFmtId="38" fontId="11" fillId="7" borderId="144" xfId="0" applyNumberFormat="1" applyFont="1" applyFill="1" applyBorder="1"/>
    <xf numFmtId="38" fontId="11" fillId="7" borderId="145" xfId="0" applyNumberFormat="1" applyFont="1" applyFill="1" applyBorder="1"/>
    <xf numFmtId="38" fontId="11" fillId="7" borderId="146" xfId="0" applyNumberFormat="1" applyFont="1" applyFill="1" applyBorder="1"/>
    <xf numFmtId="38" fontId="11" fillId="7" borderId="14" xfId="0" applyNumberFormat="1" applyFont="1" applyFill="1" applyBorder="1"/>
    <xf numFmtId="38" fontId="11" fillId="7" borderId="23" xfId="0" applyNumberFormat="1" applyFont="1" applyFill="1" applyBorder="1"/>
    <xf numFmtId="0" fontId="11" fillId="7" borderId="21" xfId="0" applyFont="1" applyFill="1" applyBorder="1"/>
    <xf numFmtId="38" fontId="11" fillId="7" borderId="147" xfId="0" applyNumberFormat="1" applyFont="1" applyFill="1" applyBorder="1"/>
    <xf numFmtId="38" fontId="11" fillId="7" borderId="148" xfId="0" applyNumberFormat="1" applyFont="1" applyFill="1" applyBorder="1"/>
    <xf numFmtId="0" fontId="4" fillId="0" borderId="180" xfId="0" applyFont="1" applyFill="1" applyBorder="1"/>
    <xf numFmtId="0" fontId="4" fillId="3" borderId="181" xfId="0" applyFont="1" applyFill="1" applyBorder="1" applyAlignment="1"/>
    <xf numFmtId="0" fontId="4" fillId="3" borderId="180" xfId="0" applyFont="1" applyFill="1" applyBorder="1" applyAlignment="1"/>
    <xf numFmtId="0" fontId="4" fillId="3" borderId="182" xfId="0" applyFont="1" applyFill="1" applyBorder="1" applyAlignment="1"/>
    <xf numFmtId="38" fontId="3" fillId="0" borderId="183" xfId="0" applyNumberFormat="1" applyFont="1" applyFill="1" applyBorder="1"/>
    <xf numFmtId="0" fontId="10" fillId="8" borderId="0" xfId="0" applyFont="1" applyFill="1" applyBorder="1" applyAlignment="1">
      <alignment horizontal="center"/>
    </xf>
    <xf numFmtId="0" fontId="16" fillId="8" borderId="0" xfId="0" applyFont="1" applyFill="1" applyBorder="1"/>
    <xf numFmtId="0" fontId="10" fillId="8" borderId="0" xfId="0" applyFont="1" applyFill="1" applyBorder="1" applyAlignment="1">
      <alignment horizontal="center" wrapText="1"/>
    </xf>
    <xf numFmtId="165" fontId="16" fillId="8" borderId="0" xfId="0" applyNumberFormat="1" applyFont="1" applyFill="1" applyBorder="1"/>
    <xf numFmtId="38" fontId="37" fillId="8" borderId="0" xfId="0" applyNumberFormat="1" applyFont="1" applyFill="1" applyBorder="1" applyAlignment="1">
      <alignment horizontal="right"/>
    </xf>
    <xf numFmtId="165" fontId="16" fillId="8" borderId="132" xfId="0" applyNumberFormat="1" applyFont="1" applyFill="1" applyBorder="1"/>
    <xf numFmtId="0" fontId="10" fillId="0" borderId="0" xfId="0" applyFont="1" applyBorder="1" applyAlignment="1">
      <alignment horizontal="center" vertical="center"/>
    </xf>
    <xf numFmtId="0" fontId="16" fillId="7" borderId="19" xfId="0" applyFont="1" applyFill="1" applyBorder="1"/>
    <xf numFmtId="0" fontId="16" fillId="0" borderId="184" xfId="0" applyFont="1" applyBorder="1" applyAlignment="1">
      <alignment horizontal="center"/>
    </xf>
    <xf numFmtId="165" fontId="16" fillId="0" borderId="149" xfId="0" applyNumberFormat="1" applyFont="1" applyBorder="1"/>
    <xf numFmtId="165" fontId="16" fillId="0" borderId="185" xfId="0" applyNumberFormat="1" applyFont="1" applyBorder="1"/>
    <xf numFmtId="165" fontId="16" fillId="0" borderId="186" xfId="0" applyNumberFormat="1" applyFont="1" applyBorder="1"/>
    <xf numFmtId="165" fontId="16" fillId="0" borderId="184" xfId="0" applyNumberFormat="1" applyFont="1" applyBorder="1"/>
    <xf numFmtId="0" fontId="4" fillId="0" borderId="187" xfId="0" applyFont="1" applyFill="1" applyBorder="1"/>
    <xf numFmtId="0" fontId="4" fillId="0" borderId="188" xfId="0" applyFont="1" applyFill="1" applyBorder="1"/>
    <xf numFmtId="0" fontId="4" fillId="3" borderId="189" xfId="0" applyFont="1" applyFill="1" applyBorder="1" applyAlignment="1"/>
    <xf numFmtId="0" fontId="4" fillId="3" borderId="190" xfId="0" applyFont="1" applyFill="1" applyBorder="1" applyAlignment="1"/>
    <xf numFmtId="0" fontId="4" fillId="3" borderId="187" xfId="0" applyFont="1" applyFill="1" applyBorder="1" applyAlignment="1"/>
    <xf numFmtId="0" fontId="4" fillId="3" borderId="188" xfId="0" applyFont="1" applyFill="1" applyBorder="1" applyAlignment="1"/>
    <xf numFmtId="0" fontId="4" fillId="3" borderId="191" xfId="0" applyFont="1" applyFill="1" applyBorder="1" applyAlignment="1"/>
    <xf numFmtId="0" fontId="4" fillId="3" borderId="192" xfId="0" applyFont="1" applyFill="1" applyBorder="1" applyAlignment="1"/>
    <xf numFmtId="0" fontId="0" fillId="0" borderId="150" xfId="0" applyFill="1" applyBorder="1"/>
    <xf numFmtId="0" fontId="0" fillId="0" borderId="151" xfId="0" applyFill="1" applyBorder="1"/>
    <xf numFmtId="38" fontId="11" fillId="0" borderId="152" xfId="0" applyNumberFormat="1" applyFont="1" applyFill="1" applyBorder="1"/>
    <xf numFmtId="38" fontId="11" fillId="0" borderId="153" xfId="0" applyNumberFormat="1" applyFont="1" applyFill="1" applyBorder="1"/>
    <xf numFmtId="38" fontId="11" fillId="0" borderId="154" xfId="0" applyNumberFormat="1" applyFont="1" applyFill="1" applyBorder="1"/>
    <xf numFmtId="38" fontId="11" fillId="0" borderId="155" xfId="0" applyNumberFormat="1" applyFont="1" applyFill="1" applyBorder="1"/>
    <xf numFmtId="38" fontId="11" fillId="0" borderId="156" xfId="0" applyNumberFormat="1" applyFont="1" applyFill="1" applyBorder="1"/>
    <xf numFmtId="38" fontId="11" fillId="0" borderId="157" xfId="0" applyNumberFormat="1" applyFont="1" applyFill="1" applyBorder="1"/>
    <xf numFmtId="38" fontId="11" fillId="0" borderId="158" xfId="0" applyNumberFormat="1" applyFont="1" applyFill="1" applyBorder="1"/>
    <xf numFmtId="38" fontId="11" fillId="0" borderId="159" xfId="0" applyNumberFormat="1" applyFont="1" applyFill="1" applyBorder="1"/>
    <xf numFmtId="38" fontId="11" fillId="0" borderId="160" xfId="0" applyNumberFormat="1" applyFont="1" applyFill="1" applyBorder="1"/>
    <xf numFmtId="38" fontId="11" fillId="0" borderId="161" xfId="0" applyNumberFormat="1" applyFont="1" applyFill="1" applyBorder="1"/>
    <xf numFmtId="0" fontId="0" fillId="0" borderId="193" xfId="0" applyBorder="1"/>
    <xf numFmtId="0" fontId="13" fillId="0" borderId="194" xfId="0" applyFont="1" applyBorder="1" applyAlignment="1">
      <alignment horizontal="center"/>
    </xf>
    <xf numFmtId="0" fontId="0" fillId="0" borderId="194" xfId="0" applyBorder="1"/>
    <xf numFmtId="0" fontId="0" fillId="0" borderId="195" xfId="0" applyBorder="1"/>
    <xf numFmtId="0" fontId="0" fillId="0" borderId="196" xfId="0" applyBorder="1"/>
    <xf numFmtId="0" fontId="26" fillId="0" borderId="176" xfId="0" applyFont="1" applyBorder="1" applyAlignment="1">
      <alignment horizontal="center"/>
    </xf>
    <xf numFmtId="0" fontId="10" fillId="3" borderId="196" xfId="0" applyFont="1" applyFill="1" applyBorder="1" applyAlignment="1">
      <alignment horizontal="center"/>
    </xf>
    <xf numFmtId="0" fontId="16" fillId="3" borderId="196" xfId="0" applyFont="1" applyFill="1" applyBorder="1"/>
    <xf numFmtId="0" fontId="4" fillId="0" borderId="176" xfId="0" applyFont="1" applyBorder="1" applyAlignment="1"/>
    <xf numFmtId="0" fontId="10" fillId="3" borderId="196" xfId="0" applyFont="1" applyFill="1" applyBorder="1" applyAlignment="1">
      <alignment horizontal="center" wrapText="1"/>
    </xf>
    <xf numFmtId="0" fontId="4" fillId="0" borderId="176" xfId="0" applyFont="1" applyBorder="1" applyAlignment="1">
      <alignment horizontal="center"/>
    </xf>
    <xf numFmtId="0" fontId="4" fillId="3" borderId="196" xfId="0" applyFont="1" applyFill="1" applyBorder="1" applyAlignment="1">
      <alignment horizontal="center"/>
    </xf>
    <xf numFmtId="0" fontId="0" fillId="3" borderId="196" xfId="0" applyFill="1" applyBorder="1"/>
    <xf numFmtId="165" fontId="16" fillId="3" borderId="196" xfId="0" applyNumberFormat="1" applyFont="1" applyFill="1" applyBorder="1"/>
    <xf numFmtId="38" fontId="2" fillId="0" borderId="176" xfId="0" applyNumberFormat="1" applyFont="1" applyBorder="1"/>
    <xf numFmtId="38" fontId="37" fillId="3" borderId="196" xfId="0" applyNumberFormat="1" applyFont="1" applyFill="1" applyBorder="1" applyAlignment="1">
      <alignment horizontal="right"/>
    </xf>
    <xf numFmtId="165" fontId="16" fillId="3" borderId="197" xfId="0" applyNumberFormat="1" applyFont="1" applyFill="1" applyBorder="1"/>
    <xf numFmtId="38" fontId="8" fillId="0" borderId="176" xfId="0" applyNumberFormat="1" applyFont="1" applyBorder="1"/>
    <xf numFmtId="0" fontId="11" fillId="0" borderId="196" xfId="0" applyFont="1" applyBorder="1"/>
    <xf numFmtId="38" fontId="11" fillId="0" borderId="0" xfId="0" applyNumberFormat="1" applyFont="1" applyBorder="1"/>
    <xf numFmtId="0" fontId="2" fillId="0" borderId="198" xfId="0" applyFont="1" applyBorder="1"/>
    <xf numFmtId="38" fontId="23" fillId="0" borderId="199" xfId="0" applyNumberFormat="1" applyFont="1" applyFill="1" applyBorder="1" applyAlignment="1">
      <alignment horizontal="right"/>
    </xf>
    <xf numFmtId="0" fontId="22" fillId="0" borderId="199" xfId="0" applyFont="1" applyBorder="1"/>
    <xf numFmtId="0" fontId="22" fillId="0" borderId="200" xfId="0" applyFont="1" applyBorder="1"/>
    <xf numFmtId="0" fontId="14" fillId="9" borderId="0" xfId="0" applyFont="1" applyFill="1"/>
    <xf numFmtId="0" fontId="42" fillId="0" borderId="176" xfId="0" applyFont="1" applyFill="1" applyBorder="1" applyAlignment="1"/>
    <xf numFmtId="0" fontId="42" fillId="0" borderId="196" xfId="0" applyFont="1" applyFill="1" applyBorder="1" applyAlignment="1"/>
    <xf numFmtId="0" fontId="26" fillId="0" borderId="196" xfId="0" applyFont="1" applyBorder="1" applyAlignment="1">
      <alignment horizontal="center"/>
    </xf>
    <xf numFmtId="0" fontId="4" fillId="0" borderId="196" xfId="0" applyFont="1" applyBorder="1" applyAlignment="1"/>
    <xf numFmtId="0" fontId="4" fillId="0" borderId="196" xfId="0" applyFont="1" applyBorder="1" applyAlignment="1">
      <alignment horizontal="center"/>
    </xf>
    <xf numFmtId="38" fontId="2" fillId="0" borderId="196" xfId="0" applyNumberFormat="1" applyFont="1" applyBorder="1"/>
    <xf numFmtId="38" fontId="8" fillId="0" borderId="196" xfId="0" applyNumberFormat="1" applyFont="1" applyBorder="1"/>
    <xf numFmtId="0" fontId="14" fillId="0" borderId="196" xfId="0" applyFont="1" applyBorder="1"/>
    <xf numFmtId="0" fontId="22" fillId="0" borderId="196" xfId="0" applyFont="1" applyBorder="1"/>
    <xf numFmtId="0" fontId="50" fillId="7" borderId="35" xfId="0" applyFont="1" applyFill="1" applyBorder="1" applyAlignment="1">
      <alignment horizontal="center"/>
    </xf>
    <xf numFmtId="0" fontId="50" fillId="7" borderId="21" xfId="0" applyFont="1" applyFill="1" applyBorder="1" applyAlignment="1">
      <alignment horizontal="center"/>
    </xf>
    <xf numFmtId="0" fontId="50" fillId="7" borderId="36" xfId="0" applyFont="1" applyFill="1" applyBorder="1" applyAlignment="1">
      <alignment horizontal="center"/>
    </xf>
    <xf numFmtId="10" fontId="11" fillId="0" borderId="178" xfId="0" applyNumberFormat="1" applyFont="1" applyBorder="1"/>
    <xf numFmtId="10" fontId="16" fillId="0" borderId="178" xfId="0" applyNumberFormat="1" applyFont="1" applyBorder="1"/>
    <xf numFmtId="0" fontId="42" fillId="0" borderId="0" xfId="0" applyFont="1" applyFill="1" applyBorder="1" applyAlignment="1">
      <alignment horizontal="center"/>
    </xf>
    <xf numFmtId="0" fontId="42" fillId="0" borderId="0" xfId="0" applyFont="1" applyAlignment="1">
      <alignment horizontal="center"/>
    </xf>
    <xf numFmtId="0" fontId="4" fillId="0" borderId="201" xfId="0" applyFont="1" applyFill="1" applyBorder="1"/>
    <xf numFmtId="0" fontId="4" fillId="3" borderId="202" xfId="0" applyFont="1" applyFill="1" applyBorder="1" applyAlignment="1"/>
    <xf numFmtId="0" fontId="4" fillId="3" borderId="201" xfId="0" applyFont="1" applyFill="1" applyBorder="1" applyAlignment="1"/>
    <xf numFmtId="0" fontId="4" fillId="3" borderId="203" xfId="0" applyFont="1" applyFill="1" applyBorder="1" applyAlignment="1"/>
    <xf numFmtId="0" fontId="0" fillId="0" borderId="162" xfId="0" applyFill="1" applyBorder="1"/>
    <xf numFmtId="38" fontId="11" fillId="0" borderId="163" xfId="0" applyNumberFormat="1" applyFont="1" applyFill="1" applyBorder="1"/>
    <xf numFmtId="0" fontId="10" fillId="10" borderId="15" xfId="0" applyFont="1" applyFill="1" applyBorder="1" applyAlignment="1">
      <alignment horizontal="center"/>
    </xf>
    <xf numFmtId="0" fontId="5" fillId="10" borderId="11" xfId="0" applyFont="1" applyFill="1" applyBorder="1" applyAlignment="1">
      <alignment horizontal="center"/>
    </xf>
    <xf numFmtId="0" fontId="5" fillId="10" borderId="33" xfId="0" applyFont="1" applyFill="1" applyBorder="1" applyAlignment="1">
      <alignment horizontal="center"/>
    </xf>
    <xf numFmtId="164" fontId="2" fillId="10" borderId="27" xfId="1" applyNumberFormat="1" applyFont="1" applyFill="1" applyBorder="1"/>
    <xf numFmtId="38" fontId="2" fillId="10" borderId="12" xfId="0" applyNumberFormat="1" applyFont="1" applyFill="1" applyBorder="1"/>
    <xf numFmtId="38" fontId="2" fillId="10" borderId="13" xfId="0" applyNumberFormat="1" applyFont="1" applyFill="1" applyBorder="1"/>
    <xf numFmtId="38" fontId="2" fillId="10" borderId="14" xfId="0" applyNumberFormat="1" applyFont="1" applyFill="1" applyBorder="1"/>
    <xf numFmtId="38" fontId="2" fillId="10" borderId="11" xfId="0" applyNumberFormat="1" applyFont="1" applyFill="1" applyBorder="1"/>
    <xf numFmtId="38" fontId="24" fillId="10" borderId="11" xfId="0" applyNumberFormat="1" applyFont="1" applyFill="1" applyBorder="1"/>
    <xf numFmtId="38" fontId="8" fillId="10" borderId="16" xfId="0" applyNumberFormat="1" applyFont="1" applyFill="1" applyBorder="1"/>
    <xf numFmtId="38" fontId="9" fillId="4" borderId="0" xfId="0" applyNumberFormat="1" applyFont="1" applyFill="1" applyAlignment="1">
      <alignment horizontal="left"/>
    </xf>
    <xf numFmtId="0" fontId="5" fillId="0" borderId="125" xfId="0" applyFont="1" applyFill="1" applyBorder="1" applyAlignment="1">
      <alignment horizontal="center"/>
    </xf>
    <xf numFmtId="0" fontId="24" fillId="0" borderId="21" xfId="0" applyFont="1" applyFill="1" applyBorder="1" applyAlignment="1">
      <alignment horizontal="center"/>
    </xf>
    <xf numFmtId="0" fontId="4" fillId="0" borderId="35" xfId="0" applyFont="1" applyFill="1" applyBorder="1"/>
    <xf numFmtId="38" fontId="2" fillId="0" borderId="37" xfId="0" applyNumberFormat="1" applyFont="1" applyFill="1" applyBorder="1"/>
    <xf numFmtId="38" fontId="2" fillId="10" borderId="11" xfId="1" applyNumberFormat="1" applyFont="1" applyFill="1" applyBorder="1"/>
    <xf numFmtId="38" fontId="2" fillId="0" borderId="11" xfId="1" applyNumberFormat="1" applyFont="1" applyFill="1" applyBorder="1"/>
    <xf numFmtId="38" fontId="24" fillId="0" borderId="2" xfId="0" applyNumberFormat="1" applyFont="1" applyFill="1" applyBorder="1" applyAlignment="1">
      <alignment horizontal="right"/>
    </xf>
    <xf numFmtId="38" fontId="2" fillId="0" borderId="45" xfId="0" applyNumberFormat="1" applyFont="1" applyFill="1" applyBorder="1" applyAlignment="1">
      <alignment horizontal="right"/>
    </xf>
    <xf numFmtId="10" fontId="11" fillId="0" borderId="28" xfId="1" applyNumberFormat="1" applyFont="1" applyBorder="1"/>
    <xf numFmtId="0" fontId="4" fillId="0" borderId="164" xfId="0" applyFont="1" applyBorder="1"/>
    <xf numFmtId="38" fontId="24" fillId="0" borderId="19" xfId="0" applyNumberFormat="1" applyFont="1" applyBorder="1" applyAlignment="1">
      <alignment horizontal="right"/>
    </xf>
    <xf numFmtId="0" fontId="42" fillId="0" borderId="0" xfId="0" applyFont="1" applyFill="1" applyBorder="1" applyAlignment="1">
      <alignment horizontal="center"/>
    </xf>
    <xf numFmtId="38" fontId="9" fillId="4" borderId="0" xfId="0" applyNumberFormat="1" applyFont="1" applyFill="1" applyAlignment="1">
      <alignment horizontal="left"/>
    </xf>
    <xf numFmtId="0" fontId="42" fillId="0" borderId="0" xfId="0" applyFont="1" applyAlignment="1">
      <alignment horizontal="center"/>
    </xf>
    <xf numFmtId="0" fontId="13" fillId="0" borderId="0" xfId="0" applyFont="1" applyAlignment="1">
      <alignment horizontal="center"/>
    </xf>
    <xf numFmtId="38" fontId="9" fillId="4" borderId="0" xfId="0" quotePrefix="1" applyNumberFormat="1" applyFont="1" applyFill="1" applyAlignment="1">
      <alignment horizontal="center"/>
    </xf>
    <xf numFmtId="0" fontId="7" fillId="0" borderId="85" xfId="0" applyFont="1" applyFill="1" applyBorder="1" applyAlignment="1">
      <alignment horizontal="center"/>
    </xf>
    <xf numFmtId="0" fontId="5" fillId="0" borderId="11" xfId="0" applyFont="1" applyFill="1" applyBorder="1" applyAlignment="1">
      <alignment horizontal="center"/>
    </xf>
    <xf numFmtId="0" fontId="5" fillId="0" borderId="33" xfId="0" applyFont="1" applyFill="1" applyBorder="1" applyAlignment="1">
      <alignment horizontal="center"/>
    </xf>
    <xf numFmtId="164" fontId="2" fillId="0" borderId="27" xfId="1" applyNumberFormat="1" applyFont="1" applyFill="1" applyBorder="1"/>
    <xf numFmtId="0" fontId="5" fillId="0" borderId="21" xfId="0" applyFont="1" applyFill="1" applyBorder="1" applyAlignment="1">
      <alignment horizontal="center"/>
    </xf>
    <xf numFmtId="0" fontId="5" fillId="4" borderId="11" xfId="0" applyFont="1" applyFill="1" applyBorder="1" applyAlignment="1">
      <alignment horizontal="right"/>
    </xf>
    <xf numFmtId="168" fontId="4" fillId="4" borderId="11" xfId="0" applyNumberFormat="1" applyFont="1" applyFill="1" applyBorder="1"/>
    <xf numFmtId="38" fontId="2" fillId="4" borderId="11" xfId="1" applyNumberFormat="1" applyFont="1" applyFill="1" applyBorder="1"/>
    <xf numFmtId="38" fontId="24" fillId="4" borderId="2" xfId="0" applyNumberFormat="1" applyFont="1" applyFill="1" applyBorder="1" applyAlignment="1">
      <alignment horizontal="right"/>
    </xf>
    <xf numFmtId="38" fontId="2" fillId="4" borderId="2" xfId="0" applyNumberFormat="1" applyFont="1" applyFill="1" applyBorder="1" applyAlignment="1">
      <alignment horizontal="right"/>
    </xf>
    <xf numFmtId="38" fontId="2" fillId="4" borderId="45" xfId="0" applyNumberFormat="1" applyFont="1" applyFill="1" applyBorder="1" applyAlignment="1">
      <alignment horizontal="right"/>
    </xf>
    <xf numFmtId="38" fontId="2" fillId="4" borderId="15" xfId="0" applyNumberFormat="1" applyFont="1" applyFill="1" applyBorder="1"/>
    <xf numFmtId="0" fontId="5" fillId="0" borderId="0" xfId="0" applyFont="1"/>
    <xf numFmtId="0" fontId="0" fillId="0" borderId="0" xfId="0" applyAlignment="1">
      <alignment wrapText="1"/>
    </xf>
    <xf numFmtId="0" fontId="24" fillId="0" borderId="7" xfId="0" applyFont="1" applyBorder="1"/>
    <xf numFmtId="0" fontId="24" fillId="0" borderId="7" xfId="0" applyFont="1" applyBorder="1" applyAlignment="1">
      <alignment wrapText="1"/>
    </xf>
    <xf numFmtId="0" fontId="24" fillId="10" borderId="7" xfId="0" applyFont="1" applyFill="1" applyBorder="1" applyAlignment="1">
      <alignment wrapText="1"/>
    </xf>
    <xf numFmtId="0" fontId="24" fillId="0" borderId="0" xfId="0" applyFont="1" applyFill="1" applyAlignment="1">
      <alignment wrapText="1"/>
    </xf>
    <xf numFmtId="37" fontId="2" fillId="0" borderId="11" xfId="1" applyNumberFormat="1" applyFont="1" applyFill="1" applyBorder="1"/>
    <xf numFmtId="37" fontId="2" fillId="0" borderId="12" xfId="0" applyNumberFormat="1" applyFont="1" applyFill="1" applyBorder="1"/>
    <xf numFmtId="37" fontId="2" fillId="0" borderId="13" xfId="0" applyNumberFormat="1" applyFont="1" applyFill="1" applyBorder="1"/>
    <xf numFmtId="37" fontId="2" fillId="0" borderId="14" xfId="0" applyNumberFormat="1" applyFont="1" applyFill="1" applyBorder="1"/>
    <xf numFmtId="37" fontId="2" fillId="0" borderId="11" xfId="0" applyNumberFormat="1" applyFont="1" applyFill="1" applyBorder="1"/>
    <xf numFmtId="37" fontId="24" fillId="0" borderId="11" xfId="0" applyNumberFormat="1" applyFont="1" applyFill="1" applyBorder="1"/>
    <xf numFmtId="37" fontId="8" fillId="0" borderId="16" xfId="0" applyNumberFormat="1" applyFont="1" applyFill="1" applyBorder="1"/>
    <xf numFmtId="37" fontId="2" fillId="0" borderId="228" xfId="0" applyNumberFormat="1" applyFont="1" applyBorder="1"/>
    <xf numFmtId="37" fontId="2" fillId="0" borderId="225" xfId="0" applyNumberFormat="1" applyFont="1" applyBorder="1"/>
    <xf numFmtId="37" fontId="2" fillId="0" borderId="226" xfId="0" applyNumberFormat="1" applyFont="1" applyBorder="1"/>
    <xf numFmtId="37" fontId="2" fillId="0" borderId="233" xfId="0" applyNumberFormat="1" applyFont="1" applyBorder="1"/>
    <xf numFmtId="37" fontId="8" fillId="0" borderId="234" xfId="0" applyNumberFormat="1" applyFont="1" applyBorder="1"/>
    <xf numFmtId="10" fontId="2" fillId="0" borderId="210" xfId="0" applyNumberFormat="1" applyFont="1" applyBorder="1"/>
    <xf numFmtId="10" fontId="2" fillId="0" borderId="229" xfId="0" applyNumberFormat="1" applyFont="1" applyBorder="1"/>
    <xf numFmtId="10" fontId="2" fillId="0" borderId="232" xfId="0" applyNumberFormat="1" applyFont="1" applyBorder="1"/>
    <xf numFmtId="10" fontId="2" fillId="0" borderId="227" xfId="0" applyNumberFormat="1" applyFont="1" applyBorder="1"/>
    <xf numFmtId="10" fontId="8" fillId="0" borderId="235" xfId="0" applyNumberFormat="1" applyFont="1" applyFill="1" applyBorder="1"/>
    <xf numFmtId="10" fontId="2" fillId="0" borderId="236" xfId="0" applyNumberFormat="1" applyFont="1" applyBorder="1"/>
    <xf numFmtId="0" fontId="25" fillId="0" borderId="0" xfId="0" applyFont="1"/>
    <xf numFmtId="0" fontId="5" fillId="0" borderId="7" xfId="0" applyFont="1" applyBorder="1" applyAlignment="1">
      <alignment horizontal="center"/>
    </xf>
    <xf numFmtId="0" fontId="5" fillId="10" borderId="7" xfId="0" applyFont="1" applyFill="1" applyBorder="1" applyAlignment="1">
      <alignment horizontal="center"/>
    </xf>
    <xf numFmtId="0" fontId="5" fillId="0" borderId="7" xfId="0" applyFont="1" applyFill="1" applyBorder="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50" fillId="4" borderId="27" xfId="0" applyFont="1" applyFill="1" applyBorder="1" applyAlignment="1">
      <alignment horizontal="center"/>
    </xf>
    <xf numFmtId="0" fontId="11" fillId="0" borderId="122" xfId="0" applyFont="1" applyBorder="1"/>
    <xf numFmtId="0" fontId="5" fillId="4" borderId="11" xfId="0" applyFont="1" applyFill="1" applyBorder="1" applyAlignment="1">
      <alignment horizontal="center"/>
    </xf>
    <xf numFmtId="0" fontId="5" fillId="4" borderId="33" xfId="0" applyFont="1" applyFill="1" applyBorder="1" applyAlignment="1">
      <alignment horizontal="center"/>
    </xf>
    <xf numFmtId="164" fontId="3" fillId="0" borderId="20" xfId="0" applyNumberFormat="1" applyFont="1" applyFill="1" applyBorder="1"/>
    <xf numFmtId="165" fontId="3" fillId="0" borderId="210" xfId="0" applyNumberFormat="1" applyFont="1" applyBorder="1"/>
    <xf numFmtId="164" fontId="3" fillId="0" borderId="89" xfId="0" applyNumberFormat="1" applyFont="1" applyFill="1" applyBorder="1"/>
    <xf numFmtId="165" fontId="3" fillId="0" borderId="214" xfId="0" applyNumberFormat="1" applyFont="1" applyBorder="1"/>
    <xf numFmtId="165" fontId="3" fillId="0" borderId="215" xfId="0" applyNumberFormat="1" applyFont="1" applyBorder="1"/>
    <xf numFmtId="165" fontId="3" fillId="0" borderId="216" xfId="0" applyNumberFormat="1" applyFont="1" applyBorder="1"/>
    <xf numFmtId="38" fontId="3" fillId="0" borderId="17" xfId="0" applyNumberFormat="1" applyFont="1" applyBorder="1"/>
    <xf numFmtId="165" fontId="3" fillId="0" borderId="211" xfId="0" applyNumberFormat="1" applyFont="1" applyBorder="1"/>
    <xf numFmtId="38" fontId="55" fillId="0" borderId="20" xfId="0" applyNumberFormat="1" applyFont="1" applyBorder="1"/>
    <xf numFmtId="38" fontId="11" fillId="0" borderId="20" xfId="0" applyNumberFormat="1" applyFont="1" applyFill="1" applyBorder="1" applyAlignment="1">
      <alignment horizontal="right"/>
    </xf>
    <xf numFmtId="38" fontId="56" fillId="0" borderId="210" xfId="0" applyNumberFormat="1" applyFont="1" applyBorder="1" applyAlignment="1">
      <alignment horizontal="right"/>
    </xf>
    <xf numFmtId="164" fontId="3" fillId="0" borderId="17" xfId="0" applyNumberFormat="1" applyFont="1" applyFill="1" applyBorder="1"/>
    <xf numFmtId="0" fontId="3" fillId="0" borderId="20" xfId="0" applyFont="1" applyFill="1" applyBorder="1"/>
    <xf numFmtId="164" fontId="3" fillId="0" borderId="17" xfId="1" applyNumberFormat="1" applyFont="1" applyFill="1" applyBorder="1"/>
    <xf numFmtId="38" fontId="3" fillId="0" borderId="95" xfId="0" applyNumberFormat="1" applyFont="1" applyFill="1" applyBorder="1"/>
    <xf numFmtId="165" fontId="3" fillId="0" borderId="217" xfId="0" applyNumberFormat="1" applyFont="1" applyBorder="1"/>
    <xf numFmtId="0" fontId="57" fillId="0" borderId="1" xfId="10" applyFont="1" applyBorder="1"/>
    <xf numFmtId="0" fontId="24" fillId="0" borderId="18" xfId="0" applyFont="1" applyBorder="1" applyAlignment="1">
      <alignment wrapText="1"/>
    </xf>
    <xf numFmtId="0" fontId="6" fillId="11" borderId="85" xfId="0" applyFont="1" applyFill="1" applyBorder="1" applyAlignment="1">
      <alignment vertical="center"/>
    </xf>
    <xf numFmtId="0" fontId="6" fillId="11" borderId="35" xfId="0" applyFont="1" applyFill="1" applyBorder="1" applyAlignment="1"/>
    <xf numFmtId="0" fontId="5" fillId="11" borderId="57" xfId="0" applyFont="1" applyFill="1" applyBorder="1"/>
    <xf numFmtId="0" fontId="6" fillId="11" borderId="102" xfId="0" applyFont="1" applyFill="1" applyBorder="1" applyAlignment="1">
      <alignment horizontal="center"/>
    </xf>
    <xf numFmtId="0" fontId="59" fillId="11" borderId="21" xfId="0" applyFont="1" applyFill="1" applyBorder="1" applyAlignment="1"/>
    <xf numFmtId="0" fontId="5" fillId="11" borderId="29" xfId="0" applyFont="1" applyFill="1" applyBorder="1" applyAlignment="1"/>
    <xf numFmtId="0" fontId="5" fillId="11" borderId="77" xfId="0" applyFont="1" applyFill="1" applyBorder="1" applyAlignment="1">
      <alignment horizontal="center"/>
    </xf>
    <xf numFmtId="0" fontId="5" fillId="11" borderId="78" xfId="0" applyFont="1" applyFill="1" applyBorder="1" applyAlignment="1">
      <alignment horizontal="center"/>
    </xf>
    <xf numFmtId="0" fontId="5" fillId="11" borderId="19" xfId="0" applyFont="1" applyFill="1" applyBorder="1" applyAlignment="1">
      <alignment horizontal="center"/>
    </xf>
    <xf numFmtId="0" fontId="5" fillId="11" borderId="0" xfId="0" applyFont="1" applyFill="1" applyBorder="1" applyAlignment="1">
      <alignment horizontal="center"/>
    </xf>
    <xf numFmtId="0" fontId="6" fillId="11" borderId="76" xfId="0" applyFont="1" applyFill="1" applyBorder="1" applyAlignment="1">
      <alignment horizontal="center"/>
    </xf>
    <xf numFmtId="0" fontId="5" fillId="11" borderId="79" xfId="0" applyFont="1" applyFill="1" applyBorder="1" applyAlignment="1">
      <alignment horizontal="center"/>
    </xf>
    <xf numFmtId="0" fontId="5" fillId="11" borderId="80" xfId="0" applyFont="1" applyFill="1" applyBorder="1" applyAlignment="1">
      <alignment horizontal="center"/>
    </xf>
    <xf numFmtId="0" fontId="5" fillId="11" borderId="54" xfId="0" applyFont="1" applyFill="1" applyBorder="1" applyAlignment="1">
      <alignment horizontal="center"/>
    </xf>
    <xf numFmtId="0" fontId="4" fillId="11" borderId="103" xfId="0" applyFont="1" applyFill="1" applyBorder="1"/>
    <xf numFmtId="0" fontId="4" fillId="11" borderId="73" xfId="0" applyFont="1" applyFill="1" applyBorder="1"/>
    <xf numFmtId="38" fontId="2" fillId="11" borderId="73" xfId="0" applyNumberFormat="1" applyFont="1" applyFill="1" applyBorder="1"/>
    <xf numFmtId="0" fontId="4" fillId="11" borderId="164" xfId="0" applyFont="1" applyFill="1" applyBorder="1"/>
    <xf numFmtId="0" fontId="4" fillId="11" borderId="21" xfId="0" applyFont="1" applyFill="1" applyBorder="1"/>
    <xf numFmtId="0" fontId="0" fillId="11" borderId="0" xfId="0" applyFill="1" applyBorder="1"/>
    <xf numFmtId="0" fontId="0" fillId="11" borderId="115" xfId="0" applyFill="1" applyBorder="1"/>
    <xf numFmtId="0" fontId="0" fillId="11" borderId="19" xfId="0" applyFill="1" applyBorder="1"/>
    <xf numFmtId="0" fontId="0" fillId="11" borderId="11" xfId="0" applyFill="1" applyBorder="1"/>
    <xf numFmtId="38" fontId="2" fillId="11" borderId="0" xfId="0" applyNumberFormat="1" applyFont="1" applyFill="1"/>
    <xf numFmtId="38" fontId="2" fillId="11" borderId="24" xfId="0" applyNumberFormat="1" applyFont="1" applyFill="1" applyBorder="1"/>
    <xf numFmtId="38" fontId="2" fillId="11" borderId="0" xfId="0" applyNumberFormat="1" applyFont="1" applyFill="1" applyBorder="1"/>
    <xf numFmtId="38" fontId="2" fillId="11" borderId="19" xfId="0" applyNumberFormat="1" applyFont="1" applyFill="1" applyBorder="1"/>
    <xf numFmtId="38" fontId="2" fillId="11" borderId="21" xfId="0" applyNumberFormat="1" applyFont="1" applyFill="1" applyBorder="1" applyAlignment="1">
      <alignment horizontal="right"/>
    </xf>
    <xf numFmtId="38" fontId="2" fillId="11" borderId="2" xfId="0" applyNumberFormat="1" applyFont="1" applyFill="1" applyBorder="1" applyAlignment="1">
      <alignment horizontal="right"/>
    </xf>
    <xf numFmtId="38" fontId="2" fillId="11" borderId="115" xfId="0" applyNumberFormat="1" applyFont="1" applyFill="1" applyBorder="1" applyAlignment="1">
      <alignment horizontal="right"/>
    </xf>
    <xf numFmtId="38" fontId="2" fillId="11" borderId="29" xfId="0" applyNumberFormat="1" applyFont="1" applyFill="1" applyBorder="1"/>
    <xf numFmtId="38" fontId="2" fillId="11" borderId="56" xfId="0" applyNumberFormat="1" applyFont="1" applyFill="1" applyBorder="1"/>
    <xf numFmtId="38" fontId="2" fillId="11" borderId="28" xfId="0" applyNumberFormat="1" applyFont="1" applyFill="1" applyBorder="1"/>
    <xf numFmtId="38" fontId="2" fillId="11" borderId="25" xfId="0" applyNumberFormat="1" applyFont="1" applyFill="1" applyBorder="1"/>
    <xf numFmtId="38" fontId="2" fillId="11" borderId="28" xfId="0" applyNumberFormat="1" applyFont="1" applyFill="1" applyBorder="1" applyAlignment="1">
      <alignment horizontal="right"/>
    </xf>
    <xf numFmtId="38" fontId="2" fillId="11" borderId="25" xfId="0" applyNumberFormat="1" applyFont="1" applyFill="1" applyBorder="1" applyAlignment="1">
      <alignment horizontal="right"/>
    </xf>
    <xf numFmtId="38" fontId="2" fillId="11" borderId="70" xfId="0" applyNumberFormat="1" applyFont="1" applyFill="1" applyBorder="1" applyAlignment="1">
      <alignment horizontal="right"/>
    </xf>
    <xf numFmtId="38" fontId="2" fillId="11" borderId="37" xfId="0" applyNumberFormat="1" applyFont="1" applyFill="1" applyBorder="1" applyAlignment="1">
      <alignment horizontal="right"/>
    </xf>
    <xf numFmtId="38" fontId="2" fillId="11" borderId="116" xfId="0" applyNumberFormat="1" applyFont="1" applyFill="1" applyBorder="1"/>
    <xf numFmtId="38" fontId="2" fillId="11" borderId="70" xfId="0" applyNumberFormat="1" applyFont="1" applyFill="1" applyBorder="1"/>
    <xf numFmtId="38" fontId="2" fillId="11" borderId="50" xfId="0" applyNumberFormat="1" applyFont="1" applyFill="1" applyBorder="1"/>
    <xf numFmtId="38" fontId="2" fillId="11" borderId="62" xfId="0" applyNumberFormat="1" applyFont="1" applyFill="1" applyBorder="1"/>
    <xf numFmtId="38" fontId="2" fillId="11" borderId="115" xfId="0" applyNumberFormat="1" applyFont="1" applyFill="1" applyBorder="1"/>
    <xf numFmtId="38" fontId="2" fillId="11" borderId="55" xfId="0" applyNumberFormat="1" applyFont="1" applyFill="1" applyBorder="1"/>
    <xf numFmtId="38" fontId="2" fillId="11" borderId="75" xfId="0" applyNumberFormat="1" applyFont="1" applyFill="1" applyBorder="1"/>
    <xf numFmtId="38" fontId="2" fillId="11" borderId="64" xfId="0" applyNumberFormat="1" applyFont="1" applyFill="1" applyBorder="1"/>
    <xf numFmtId="38" fontId="2" fillId="11" borderId="22" xfId="0" applyNumberFormat="1" applyFont="1" applyFill="1" applyBorder="1"/>
    <xf numFmtId="38" fontId="2" fillId="11" borderId="117" xfId="0" applyNumberFormat="1" applyFont="1" applyFill="1" applyBorder="1"/>
    <xf numFmtId="38" fontId="2" fillId="11" borderId="51" xfId="0" applyNumberFormat="1" applyFont="1" applyFill="1" applyBorder="1"/>
    <xf numFmtId="38" fontId="2" fillId="11" borderId="63" xfId="0" applyNumberFormat="1" applyFont="1" applyFill="1" applyBorder="1"/>
    <xf numFmtId="38" fontId="2" fillId="11" borderId="40" xfId="0" applyNumberFormat="1" applyFont="1" applyFill="1" applyBorder="1"/>
    <xf numFmtId="38" fontId="2" fillId="11" borderId="26" xfId="0" applyNumberFormat="1" applyFont="1" applyFill="1" applyBorder="1"/>
    <xf numFmtId="38" fontId="2" fillId="11" borderId="40" xfId="0" applyNumberFormat="1" applyFont="1" applyFill="1" applyBorder="1" applyAlignment="1">
      <alignment horizontal="right"/>
    </xf>
    <xf numFmtId="38" fontId="2" fillId="11" borderId="18" xfId="0" applyNumberFormat="1" applyFont="1" applyFill="1" applyBorder="1" applyAlignment="1">
      <alignment horizontal="right"/>
    </xf>
    <xf numFmtId="38" fontId="2" fillId="11" borderId="23" xfId="0" applyNumberFormat="1" applyFont="1" applyFill="1" applyBorder="1" applyAlignment="1">
      <alignment horizontal="right"/>
    </xf>
    <xf numFmtId="38" fontId="2" fillId="11" borderId="118" xfId="0" applyNumberFormat="1" applyFont="1" applyFill="1" applyBorder="1"/>
    <xf numFmtId="38" fontId="2" fillId="11" borderId="18" xfId="0" applyNumberFormat="1" applyFont="1" applyFill="1" applyBorder="1"/>
    <xf numFmtId="38" fontId="2" fillId="11" borderId="52" xfId="0" applyNumberFormat="1" applyFont="1" applyFill="1" applyBorder="1"/>
    <xf numFmtId="38" fontId="2" fillId="11" borderId="65" xfId="0" applyNumberFormat="1" applyFont="1" applyFill="1" applyBorder="1"/>
    <xf numFmtId="38" fontId="2" fillId="11" borderId="57" xfId="0" applyNumberFormat="1" applyFont="1" applyFill="1" applyBorder="1"/>
    <xf numFmtId="38" fontId="2" fillId="11" borderId="78" xfId="0" applyNumberFormat="1" applyFont="1" applyFill="1" applyBorder="1"/>
    <xf numFmtId="38" fontId="2" fillId="11" borderId="0" xfId="0" applyNumberFormat="1" applyFont="1" applyFill="1" applyBorder="1" applyAlignment="1">
      <alignment horizontal="right"/>
    </xf>
    <xf numFmtId="38" fontId="2" fillId="11" borderId="19" xfId="0" applyNumberFormat="1" applyFont="1" applyFill="1" applyBorder="1" applyAlignment="1">
      <alignment horizontal="right"/>
    </xf>
    <xf numFmtId="3" fontId="2" fillId="11" borderId="2" xfId="0" applyNumberFormat="1" applyFont="1" applyFill="1" applyBorder="1" applyAlignment="1">
      <alignment horizontal="right"/>
    </xf>
    <xf numFmtId="38" fontId="24" fillId="11" borderId="24" xfId="0" applyNumberFormat="1" applyFont="1" applyFill="1" applyBorder="1" applyAlignment="1">
      <alignment horizontal="right"/>
    </xf>
    <xf numFmtId="38" fontId="24" fillId="11" borderId="0" xfId="0" applyNumberFormat="1" applyFont="1" applyFill="1" applyBorder="1" applyAlignment="1">
      <alignment horizontal="right"/>
    </xf>
    <xf numFmtId="38" fontId="24" fillId="11" borderId="19" xfId="0" applyNumberFormat="1" applyFont="1" applyFill="1" applyBorder="1" applyAlignment="1">
      <alignment horizontal="right"/>
    </xf>
    <xf numFmtId="38" fontId="24" fillId="11" borderId="21" xfId="0" applyNumberFormat="1" applyFont="1" applyFill="1" applyBorder="1" applyAlignment="1">
      <alignment horizontal="right"/>
    </xf>
    <xf numFmtId="38" fontId="24" fillId="11" borderId="109" xfId="0" applyNumberFormat="1" applyFont="1" applyFill="1" applyBorder="1" applyAlignment="1">
      <alignment horizontal="right"/>
    </xf>
    <xf numFmtId="38" fontId="24" fillId="11" borderId="115" xfId="0" applyNumberFormat="1" applyFont="1" applyFill="1" applyBorder="1" applyAlignment="1">
      <alignment horizontal="right"/>
    </xf>
    <xf numFmtId="38" fontId="24" fillId="11" borderId="97" xfId="0" applyNumberFormat="1" applyFont="1" applyFill="1" applyBorder="1" applyAlignment="1">
      <alignment horizontal="right"/>
    </xf>
    <xf numFmtId="3" fontId="2" fillId="11" borderId="24" xfId="0" applyNumberFormat="1" applyFont="1" applyFill="1" applyBorder="1" applyAlignment="1">
      <alignment horizontal="right"/>
    </xf>
    <xf numFmtId="3" fontId="2" fillId="11" borderId="0" xfId="0" applyNumberFormat="1" applyFont="1" applyFill="1" applyBorder="1" applyAlignment="1">
      <alignment horizontal="right"/>
    </xf>
    <xf numFmtId="3" fontId="2" fillId="11" borderId="19" xfId="0" applyNumberFormat="1" applyFont="1" applyFill="1" applyBorder="1" applyAlignment="1">
      <alignment horizontal="right"/>
    </xf>
    <xf numFmtId="38" fontId="2" fillId="11" borderId="109" xfId="0" applyNumberFormat="1" applyFont="1" applyFill="1" applyBorder="1"/>
    <xf numFmtId="38" fontId="2" fillId="11" borderId="97" xfId="0" applyNumberFormat="1" applyFont="1" applyFill="1" applyBorder="1"/>
    <xf numFmtId="38" fontId="2" fillId="11" borderId="11" xfId="0" applyNumberFormat="1" applyFont="1" applyFill="1" applyBorder="1"/>
    <xf numFmtId="3" fontId="2" fillId="11" borderId="45" xfId="0" applyNumberFormat="1" applyFont="1" applyFill="1" applyBorder="1" applyAlignment="1">
      <alignment horizontal="right"/>
    </xf>
    <xf numFmtId="3" fontId="2" fillId="11" borderId="26" xfId="0" applyNumberFormat="1" applyFont="1" applyFill="1" applyBorder="1" applyAlignment="1">
      <alignment horizontal="right"/>
    </xf>
    <xf numFmtId="3" fontId="2" fillId="11" borderId="40" xfId="0" applyNumberFormat="1" applyFont="1" applyFill="1" applyBorder="1" applyAlignment="1">
      <alignment horizontal="right"/>
    </xf>
    <xf numFmtId="3" fontId="2" fillId="11" borderId="18" xfId="0" applyNumberFormat="1" applyFont="1" applyFill="1" applyBorder="1" applyAlignment="1">
      <alignment horizontal="right"/>
    </xf>
    <xf numFmtId="38" fontId="2" fillId="11" borderId="45" xfId="0" applyNumberFormat="1" applyFont="1" applyFill="1" applyBorder="1"/>
    <xf numFmtId="38" fontId="3" fillId="11" borderId="24" xfId="0" applyNumberFormat="1" applyFont="1" applyFill="1" applyBorder="1"/>
    <xf numFmtId="38" fontId="2" fillId="11" borderId="126" xfId="0" applyNumberFormat="1" applyFont="1" applyFill="1" applyBorder="1"/>
    <xf numFmtId="38" fontId="2" fillId="11" borderId="26" xfId="0" applyNumberFormat="1" applyFont="1" applyFill="1" applyBorder="1" applyAlignment="1">
      <alignment horizontal="right"/>
    </xf>
    <xf numFmtId="38" fontId="8" fillId="11" borderId="41" xfId="0" applyNumberFormat="1" applyFont="1" applyFill="1" applyBorder="1"/>
    <xf numFmtId="38" fontId="8" fillId="11" borderId="42" xfId="0" applyNumberFormat="1" applyFont="1" applyFill="1" applyBorder="1"/>
    <xf numFmtId="38" fontId="8" fillId="11" borderId="41" xfId="0" applyNumberFormat="1" applyFont="1" applyFill="1" applyBorder="1" applyAlignment="1">
      <alignment horizontal="right"/>
    </xf>
    <xf numFmtId="38" fontId="8" fillId="11" borderId="42" xfId="0" applyNumberFormat="1" applyFont="1" applyFill="1" applyBorder="1" applyAlignment="1">
      <alignment horizontal="right"/>
    </xf>
    <xf numFmtId="38" fontId="8" fillId="11" borderId="71" xfId="0" applyNumberFormat="1" applyFont="1" applyFill="1" applyBorder="1" applyAlignment="1">
      <alignment horizontal="right"/>
    </xf>
    <xf numFmtId="38" fontId="8" fillId="11" borderId="38" xfId="0" applyNumberFormat="1" applyFont="1" applyFill="1" applyBorder="1" applyAlignment="1">
      <alignment horizontal="right"/>
    </xf>
    <xf numFmtId="38" fontId="8" fillId="11" borderId="119" xfId="0" applyNumberFormat="1" applyFont="1" applyFill="1" applyBorder="1"/>
    <xf numFmtId="38" fontId="8" fillId="11" borderId="71" xfId="0" applyNumberFormat="1" applyFont="1" applyFill="1" applyBorder="1"/>
    <xf numFmtId="38" fontId="8" fillId="11" borderId="53" xfId="0" applyNumberFormat="1" applyFont="1" applyFill="1" applyBorder="1"/>
    <xf numFmtId="38" fontId="8" fillId="11" borderId="67" xfId="0" applyNumberFormat="1" applyFont="1" applyFill="1" applyBorder="1"/>
    <xf numFmtId="38" fontId="62" fillId="0" borderId="0" xfId="0" applyNumberFormat="1" applyFont="1"/>
    <xf numFmtId="38" fontId="25" fillId="0" borderId="0" xfId="0" applyNumberFormat="1" applyFont="1"/>
    <xf numFmtId="38" fontId="63" fillId="0" borderId="0" xfId="0" applyNumberFormat="1" applyFont="1"/>
    <xf numFmtId="0" fontId="2" fillId="0" borderId="122" xfId="0" applyNumberFormat="1" applyFont="1" applyBorder="1" applyAlignment="1">
      <alignment vertical="top"/>
    </xf>
    <xf numFmtId="38" fontId="2" fillId="0" borderId="120" xfId="0" applyNumberFormat="1" applyFont="1" applyBorder="1"/>
    <xf numFmtId="38" fontId="2" fillId="0" borderId="0" xfId="0" applyNumberFormat="1" applyFont="1" applyFill="1"/>
    <xf numFmtId="38" fontId="64" fillId="0" borderId="0" xfId="0" applyNumberFormat="1" applyFont="1" applyFill="1"/>
    <xf numFmtId="6" fontId="2" fillId="0" borderId="0" xfId="0" applyNumberFormat="1" applyFont="1"/>
    <xf numFmtId="10" fontId="2" fillId="0" borderId="28" xfId="0" applyNumberFormat="1" applyFont="1" applyBorder="1"/>
    <xf numFmtId="168" fontId="2" fillId="0" borderId="28" xfId="0" applyNumberFormat="1" applyFont="1" applyBorder="1"/>
    <xf numFmtId="10" fontId="2" fillId="0" borderId="28" xfId="1" applyNumberFormat="1" applyFont="1" applyBorder="1"/>
    <xf numFmtId="10" fontId="2" fillId="0" borderId="28" xfId="7" applyNumberFormat="1" applyFont="1" applyBorder="1"/>
    <xf numFmtId="0" fontId="65" fillId="0" borderId="7" xfId="10" applyFont="1" applyBorder="1"/>
    <xf numFmtId="0" fontId="66" fillId="0" borderId="69" xfId="0" applyFont="1" applyBorder="1" applyAlignment="1">
      <alignment horizontal="center"/>
    </xf>
    <xf numFmtId="0" fontId="6" fillId="8" borderId="7" xfId="0" applyFont="1" applyFill="1" applyBorder="1" applyAlignment="1">
      <alignment horizontal="center"/>
    </xf>
    <xf numFmtId="0" fontId="5" fillId="0" borderId="7" xfId="0" applyFont="1" applyBorder="1" applyAlignment="1">
      <alignment horizontal="left" vertical="top" wrapText="1"/>
    </xf>
    <xf numFmtId="0" fontId="6" fillId="8" borderId="8" xfId="0" applyFont="1" applyFill="1" applyBorder="1" applyAlignment="1">
      <alignment horizontal="center" wrapText="1"/>
    </xf>
    <xf numFmtId="0" fontId="6" fillId="8" borderId="8" xfId="0" applyFont="1" applyFill="1" applyBorder="1" applyAlignment="1">
      <alignment horizontal="center"/>
    </xf>
    <xf numFmtId="0" fontId="3" fillId="3" borderId="20" xfId="0" applyFont="1" applyFill="1" applyBorder="1"/>
    <xf numFmtId="0" fontId="3" fillId="3" borderId="17" xfId="0" applyFont="1" applyFill="1" applyBorder="1"/>
    <xf numFmtId="0" fontId="6" fillId="11" borderId="243" xfId="0" applyFont="1" applyFill="1" applyBorder="1" applyAlignment="1">
      <alignment horizontal="center"/>
    </xf>
    <xf numFmtId="0" fontId="6" fillId="11" borderId="244" xfId="0" applyFont="1" applyFill="1" applyBorder="1" applyAlignment="1">
      <alignment horizontal="center"/>
    </xf>
    <xf numFmtId="0" fontId="58" fillId="4" borderId="11" xfId="0" applyFont="1" applyFill="1" applyBorder="1" applyAlignment="1"/>
    <xf numFmtId="0" fontId="37" fillId="10" borderId="224" xfId="0" applyFont="1" applyFill="1" applyBorder="1" applyAlignment="1">
      <alignment vertical="center" wrapText="1"/>
    </xf>
    <xf numFmtId="0" fontId="6" fillId="10" borderId="223" xfId="0" applyFont="1" applyFill="1" applyBorder="1" applyAlignment="1">
      <alignment horizontal="center"/>
    </xf>
    <xf numFmtId="0" fontId="58" fillId="11" borderId="19" xfId="0" applyFont="1" applyFill="1" applyBorder="1"/>
    <xf numFmtId="0" fontId="6" fillId="0" borderId="103" xfId="0" applyFont="1" applyBorder="1" applyAlignment="1">
      <alignment horizontal="center"/>
    </xf>
    <xf numFmtId="0" fontId="5" fillId="0" borderId="20" xfId="0" applyFont="1" applyBorder="1"/>
    <xf numFmtId="0" fontId="5" fillId="0" borderId="210" xfId="0" applyFont="1" applyBorder="1"/>
    <xf numFmtId="0" fontId="5" fillId="0" borderId="237" xfId="0" applyFont="1" applyBorder="1" applyAlignment="1"/>
    <xf numFmtId="0" fontId="6" fillId="0" borderId="212" xfId="0" applyFont="1" applyBorder="1" applyAlignment="1">
      <alignment horizontal="center"/>
    </xf>
    <xf numFmtId="0" fontId="57" fillId="0" borderId="4" xfId="10" applyFont="1" applyBorder="1" applyAlignment="1">
      <alignment horizontal="left"/>
    </xf>
    <xf numFmtId="0" fontId="57" fillId="11" borderId="27" xfId="10" applyFont="1" applyFill="1" applyBorder="1" applyAlignment="1">
      <alignment horizontal="center"/>
    </xf>
    <xf numFmtId="0" fontId="57" fillId="11" borderId="11" xfId="10" applyFont="1" applyFill="1" applyBorder="1" applyAlignment="1">
      <alignment horizontal="center"/>
    </xf>
    <xf numFmtId="0" fontId="57" fillId="11" borderId="240" xfId="10" applyFont="1" applyFill="1" applyBorder="1" applyAlignment="1">
      <alignment horizontal="center"/>
    </xf>
    <xf numFmtId="0" fontId="53" fillId="0" borderId="101" xfId="10" applyFont="1" applyFill="1" applyBorder="1" applyAlignment="1">
      <alignment horizontal="center"/>
    </xf>
    <xf numFmtId="0" fontId="53" fillId="0" borderId="170" xfId="10" applyFont="1" applyFill="1" applyBorder="1" applyAlignment="1">
      <alignment horizontal="center"/>
    </xf>
    <xf numFmtId="0" fontId="53" fillId="4" borderId="101" xfId="10" applyFont="1" applyFill="1" applyBorder="1" applyAlignment="1">
      <alignment horizontal="center"/>
    </xf>
    <xf numFmtId="0" fontId="6" fillId="0" borderId="15" xfId="0" applyFont="1" applyFill="1" applyBorder="1" applyAlignment="1">
      <alignment horizontal="center"/>
    </xf>
    <xf numFmtId="0" fontId="5" fillId="0" borderId="15" xfId="0" applyFont="1" applyBorder="1"/>
    <xf numFmtId="0" fontId="53" fillId="11" borderId="0" xfId="10" applyFont="1" applyFill="1" applyBorder="1" applyAlignment="1">
      <alignment horizontal="center"/>
    </xf>
    <xf numFmtId="0" fontId="53" fillId="11" borderId="121" xfId="10" applyFont="1" applyFill="1" applyBorder="1" applyAlignment="1">
      <alignment horizontal="center"/>
    </xf>
    <xf numFmtId="0" fontId="53" fillId="11" borderId="102" xfId="10" applyFont="1" applyFill="1" applyBorder="1" applyAlignment="1">
      <alignment horizontal="center"/>
    </xf>
    <xf numFmtId="0" fontId="53" fillId="11" borderId="21" xfId="10" applyFont="1" applyFill="1" applyBorder="1" applyAlignment="1">
      <alignment horizontal="center"/>
    </xf>
    <xf numFmtId="0" fontId="53" fillId="11" borderId="115" xfId="10" applyFont="1" applyFill="1" applyBorder="1" applyAlignment="1">
      <alignment horizontal="center"/>
    </xf>
    <xf numFmtId="0" fontId="53" fillId="11" borderId="19" xfId="10" applyFont="1" applyFill="1" applyBorder="1" applyAlignment="1">
      <alignment horizontal="center"/>
    </xf>
    <xf numFmtId="0" fontId="53" fillId="11" borderId="69" xfId="10" applyFont="1" applyFill="1" applyBorder="1" applyAlignment="1">
      <alignment horizontal="center"/>
    </xf>
    <xf numFmtId="0" fontId="53" fillId="11" borderId="54" xfId="10" applyFont="1" applyFill="1" applyBorder="1" applyAlignment="1">
      <alignment horizontal="center"/>
    </xf>
    <xf numFmtId="0" fontId="53" fillId="11" borderId="36" xfId="10" applyFont="1" applyFill="1" applyBorder="1" applyAlignment="1">
      <alignment horizontal="center"/>
    </xf>
    <xf numFmtId="0" fontId="53" fillId="11" borderId="85" xfId="10" applyFont="1" applyFill="1" applyBorder="1" applyAlignment="1">
      <alignment horizontal="center"/>
    </xf>
    <xf numFmtId="0" fontId="53" fillId="11" borderId="114" xfId="10" applyFont="1" applyFill="1" applyBorder="1" applyAlignment="1">
      <alignment horizontal="center"/>
    </xf>
    <xf numFmtId="0" fontId="5" fillId="4" borderId="11" xfId="0" applyFont="1" applyFill="1" applyBorder="1"/>
    <xf numFmtId="0" fontId="6" fillId="4" borderId="21" xfId="0" applyFont="1" applyFill="1" applyBorder="1"/>
    <xf numFmtId="0" fontId="5" fillId="0" borderId="0" xfId="0" applyFont="1" applyBorder="1" applyAlignment="1">
      <alignment vertical="center"/>
    </xf>
    <xf numFmtId="0" fontId="5" fillId="0" borderId="69" xfId="0" applyFont="1" applyBorder="1"/>
    <xf numFmtId="0" fontId="6" fillId="0" borderId="0" xfId="0" applyFont="1" applyBorder="1" applyAlignment="1">
      <alignment horizontal="center"/>
    </xf>
    <xf numFmtId="0" fontId="5" fillId="0" borderId="0" xfId="0" applyFont="1" applyBorder="1"/>
    <xf numFmtId="0" fontId="5" fillId="3" borderId="20" xfId="0" applyFont="1" applyFill="1" applyBorder="1"/>
    <xf numFmtId="0" fontId="5" fillId="0" borderId="26" xfId="0" applyFont="1" applyBorder="1" applyAlignment="1">
      <alignment horizontal="center"/>
    </xf>
    <xf numFmtId="0" fontId="5" fillId="0" borderId="118" xfId="0" applyFont="1" applyBorder="1" applyAlignment="1">
      <alignment horizontal="center"/>
    </xf>
    <xf numFmtId="0" fontId="5" fillId="0" borderId="222" xfId="0" applyFont="1" applyBorder="1" applyAlignment="1">
      <alignment horizontal="center"/>
    </xf>
    <xf numFmtId="0" fontId="5" fillId="0" borderId="141" xfId="0" applyFont="1" applyBorder="1" applyAlignment="1">
      <alignment horizontal="center"/>
    </xf>
    <xf numFmtId="0" fontId="5" fillId="0" borderId="159" xfId="0" applyFont="1" applyBorder="1" applyAlignment="1">
      <alignment horizontal="center"/>
    </xf>
    <xf numFmtId="0" fontId="53" fillId="4" borderId="11" xfId="10" applyFont="1" applyFill="1" applyBorder="1" applyAlignment="1">
      <alignment horizontal="center"/>
    </xf>
    <xf numFmtId="0" fontId="5" fillId="0" borderId="78" xfId="0" applyFont="1" applyBorder="1" applyAlignment="1">
      <alignment horizontal="center"/>
    </xf>
    <xf numFmtId="0" fontId="5" fillId="0" borderId="0" xfId="0" applyFont="1" applyBorder="1" applyAlignment="1">
      <alignment horizontal="center"/>
    </xf>
    <xf numFmtId="0" fontId="5" fillId="0" borderId="115" xfId="0" applyFont="1" applyBorder="1" applyAlignment="1">
      <alignment horizontal="center"/>
    </xf>
    <xf numFmtId="0" fontId="5" fillId="0" borderId="218" xfId="0" applyFont="1" applyBorder="1" applyAlignment="1">
      <alignment horizontal="center"/>
    </xf>
    <xf numFmtId="0" fontId="5" fillId="0" borderId="219" xfId="0" applyFont="1" applyBorder="1" applyAlignment="1">
      <alignment horizontal="center"/>
    </xf>
    <xf numFmtId="0" fontId="5" fillId="3" borderId="24" xfId="0" applyFont="1" applyFill="1" applyBorder="1" applyAlignment="1">
      <alignment horizontal="center"/>
    </xf>
    <xf numFmtId="0" fontId="5" fillId="3" borderId="0" xfId="0" applyFont="1" applyFill="1" applyBorder="1" applyAlignment="1">
      <alignment horizontal="center"/>
    </xf>
    <xf numFmtId="0" fontId="5" fillId="3" borderId="39" xfId="0" applyFont="1" applyFill="1" applyBorder="1" applyAlignment="1">
      <alignment horizontal="center"/>
    </xf>
    <xf numFmtId="0" fontId="5" fillId="3" borderId="135" xfId="0" applyFont="1" applyFill="1" applyBorder="1" applyAlignment="1">
      <alignment horizontal="center"/>
    </xf>
    <xf numFmtId="0" fontId="5" fillId="3" borderId="153" xfId="0" applyFont="1" applyFill="1" applyBorder="1" applyAlignment="1">
      <alignment horizontal="center"/>
    </xf>
    <xf numFmtId="0" fontId="53" fillId="4" borderId="21" xfId="10" applyFont="1" applyFill="1" applyBorder="1" applyAlignment="1">
      <alignment horizontal="center"/>
    </xf>
    <xf numFmtId="0" fontId="5" fillId="0" borderId="80" xfId="0" applyFont="1" applyBorder="1" applyAlignment="1">
      <alignment horizontal="center"/>
    </xf>
    <xf numFmtId="0" fontId="5" fillId="0" borderId="85" xfId="0" applyFont="1" applyBorder="1" applyAlignment="1">
      <alignment horizontal="center"/>
    </xf>
    <xf numFmtId="0" fontId="5" fillId="0" borderId="114" xfId="0" applyFont="1" applyBorder="1" applyAlignment="1">
      <alignment horizontal="center"/>
    </xf>
    <xf numFmtId="0" fontId="5" fillId="0" borderId="220" xfId="0" applyFont="1" applyBorder="1" applyAlignment="1">
      <alignment horizontal="center"/>
    </xf>
    <xf numFmtId="0" fontId="5" fillId="0" borderId="221" xfId="0" applyFont="1" applyBorder="1" applyAlignment="1">
      <alignment horizontal="center"/>
    </xf>
    <xf numFmtId="0" fontId="53" fillId="4" borderId="33" xfId="10" applyFont="1" applyFill="1" applyBorder="1" applyAlignment="1">
      <alignment horizontal="center"/>
    </xf>
    <xf numFmtId="0" fontId="53" fillId="4" borderId="36" xfId="10" applyFont="1" applyFill="1" applyBorder="1" applyAlignment="1">
      <alignment horizontal="center"/>
    </xf>
    <xf numFmtId="0" fontId="5" fillId="0" borderId="17" xfId="0" applyFont="1" applyBorder="1" applyAlignment="1">
      <alignment horizontal="center"/>
    </xf>
    <xf numFmtId="0" fontId="5" fillId="0" borderId="211" xfId="0" applyFont="1" applyBorder="1" applyAlignment="1">
      <alignment horizontal="center"/>
    </xf>
    <xf numFmtId="0" fontId="5" fillId="0" borderId="226" xfId="0" applyFont="1" applyBorder="1" applyAlignment="1">
      <alignment horizontal="center"/>
    </xf>
    <xf numFmtId="0" fontId="6" fillId="0" borderId="227" xfId="0" applyFont="1" applyBorder="1" applyAlignment="1">
      <alignment horizontal="center"/>
    </xf>
    <xf numFmtId="0" fontId="5" fillId="0" borderId="109" xfId="0" applyFont="1" applyBorder="1"/>
    <xf numFmtId="0" fontId="5" fillId="0" borderId="115" xfId="0" applyFont="1" applyBorder="1"/>
    <xf numFmtId="0" fontId="5" fillId="0" borderId="94" xfId="0" applyFont="1" applyFill="1" applyBorder="1"/>
    <xf numFmtId="0" fontId="5" fillId="0" borderId="230" xfId="0" applyFont="1" applyBorder="1"/>
    <xf numFmtId="0" fontId="5" fillId="0" borderId="231" xfId="0" applyFont="1" applyBorder="1"/>
    <xf numFmtId="0" fontId="5" fillId="0" borderId="247" xfId="0" applyFont="1" applyBorder="1"/>
    <xf numFmtId="0" fontId="5" fillId="0" borderId="248" xfId="0" applyFont="1" applyBorder="1"/>
    <xf numFmtId="0" fontId="5" fillId="0" borderId="249" xfId="0" applyFont="1" applyBorder="1"/>
    <xf numFmtId="38" fontId="2" fillId="0" borderId="251" xfId="0" applyNumberFormat="1" applyFont="1" applyBorder="1" applyAlignment="1">
      <alignment horizontal="right"/>
    </xf>
    <xf numFmtId="38" fontId="2" fillId="0" borderId="250" xfId="0" applyNumberFormat="1" applyFont="1" applyBorder="1" applyAlignment="1">
      <alignment horizontal="right"/>
    </xf>
    <xf numFmtId="38" fontId="2" fillId="0" borderId="30" xfId="0" applyNumberFormat="1" applyFont="1" applyBorder="1"/>
    <xf numFmtId="38" fontId="2" fillId="0" borderId="252" xfId="0" applyNumberFormat="1" applyFont="1" applyBorder="1"/>
    <xf numFmtId="38" fontId="2" fillId="0" borderId="31" xfId="0" applyNumberFormat="1" applyFont="1" applyBorder="1"/>
    <xf numFmtId="38" fontId="2" fillId="0" borderId="253" xfId="0" applyNumberFormat="1" applyFont="1" applyBorder="1"/>
    <xf numFmtId="38" fontId="2" fillId="0" borderId="254" xfId="0" applyNumberFormat="1" applyFont="1" applyBorder="1"/>
    <xf numFmtId="38" fontId="2" fillId="0" borderId="255" xfId="0" applyNumberFormat="1" applyFont="1" applyBorder="1"/>
    <xf numFmtId="38" fontId="2" fillId="0" borderId="256" xfId="0" applyNumberFormat="1" applyFont="1" applyBorder="1"/>
    <xf numFmtId="38" fontId="2" fillId="0" borderId="251" xfId="0" applyNumberFormat="1" applyFont="1" applyBorder="1"/>
    <xf numFmtId="38" fontId="2" fillId="0" borderId="250" xfId="0" applyNumberFormat="1" applyFont="1" applyBorder="1"/>
    <xf numFmtId="0" fontId="5" fillId="0" borderId="7" xfId="0" applyFont="1" applyBorder="1" applyAlignment="1">
      <alignment horizontal="left"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horizontal="left" vertical="top" wrapText="1"/>
    </xf>
    <xf numFmtId="0" fontId="5" fillId="0" borderId="7" xfId="0" applyFont="1" applyFill="1" applyBorder="1" applyAlignment="1">
      <alignment horizontal="left" vertical="center"/>
    </xf>
    <xf numFmtId="0" fontId="13" fillId="0" borderId="0" xfId="0" applyFont="1" applyAlignment="1">
      <alignment horizontal="center"/>
    </xf>
    <xf numFmtId="0" fontId="7" fillId="0" borderId="85" xfId="0" applyFont="1" applyFill="1" applyBorder="1" applyAlignment="1">
      <alignment horizontal="center"/>
    </xf>
    <xf numFmtId="38" fontId="9" fillId="4" borderId="0" xfId="0" quotePrefix="1" applyNumberFormat="1" applyFont="1" applyFill="1" applyAlignment="1">
      <alignment horizontal="center"/>
    </xf>
    <xf numFmtId="38" fontId="14" fillId="0" borderId="0" xfId="0" applyNumberFormat="1" applyFont="1" applyAlignment="1">
      <alignment horizontal="center"/>
    </xf>
    <xf numFmtId="38" fontId="9" fillId="4" borderId="0" xfId="0" applyNumberFormat="1" applyFont="1" applyFill="1" applyAlignment="1">
      <alignment horizontal="left"/>
    </xf>
    <xf numFmtId="0" fontId="6" fillId="0" borderId="103" xfId="0" applyFont="1" applyBorder="1" applyAlignment="1">
      <alignment horizontal="center"/>
    </xf>
    <xf numFmtId="0" fontId="5" fillId="11" borderId="7" xfId="0" applyFont="1" applyFill="1" applyBorder="1" applyAlignment="1">
      <alignment horizontal="center"/>
    </xf>
    <xf numFmtId="0" fontId="24" fillId="11" borderId="7" xfId="0" applyFont="1" applyFill="1" applyBorder="1" applyAlignment="1">
      <alignment wrapText="1"/>
    </xf>
    <xf numFmtId="0" fontId="6" fillId="0" borderId="0" xfId="0" applyFont="1" applyBorder="1" applyAlignment="1">
      <alignment horizontal="center"/>
    </xf>
    <xf numFmtId="0" fontId="5" fillId="10" borderId="3" xfId="0" applyFont="1" applyFill="1" applyBorder="1" applyAlignment="1">
      <alignment horizontal="center"/>
    </xf>
    <xf numFmtId="0" fontId="24" fillId="10" borderId="3" xfId="0" applyFont="1" applyFill="1" applyBorder="1" applyAlignment="1">
      <alignment wrapText="1"/>
    </xf>
    <xf numFmtId="0" fontId="5" fillId="0" borderId="257" xfId="0" applyFont="1" applyFill="1" applyBorder="1" applyAlignment="1">
      <alignment horizontal="center"/>
    </xf>
    <xf numFmtId="0" fontId="24" fillId="0" borderId="257" xfId="0" applyFont="1" applyFill="1" applyBorder="1" applyAlignment="1">
      <alignment wrapText="1"/>
    </xf>
    <xf numFmtId="0" fontId="5" fillId="11" borderId="258" xfId="0" applyFont="1" applyFill="1" applyBorder="1" applyAlignment="1">
      <alignment horizontal="center"/>
    </xf>
    <xf numFmtId="0" fontId="24" fillId="11" borderId="258" xfId="0" applyFont="1" applyFill="1" applyBorder="1" applyAlignment="1">
      <alignment wrapText="1"/>
    </xf>
    <xf numFmtId="0" fontId="5" fillId="11" borderId="260" xfId="0" applyFont="1" applyFill="1" applyBorder="1" applyAlignment="1">
      <alignment horizontal="center"/>
    </xf>
    <xf numFmtId="0" fontId="24" fillId="11" borderId="260" xfId="0" applyFont="1" applyFill="1" applyBorder="1" applyAlignment="1">
      <alignment wrapText="1"/>
    </xf>
    <xf numFmtId="38" fontId="6" fillId="3" borderId="81" xfId="0" applyNumberFormat="1" applyFont="1" applyFill="1" applyBorder="1"/>
    <xf numFmtId="38" fontId="8" fillId="3" borderId="69" xfId="0" applyNumberFormat="1" applyFont="1" applyFill="1" applyBorder="1"/>
    <xf numFmtId="38" fontId="8" fillId="3" borderId="69" xfId="0" applyNumberFormat="1" applyFont="1" applyFill="1" applyBorder="1" applyAlignment="1">
      <alignment horizontal="right"/>
    </xf>
    <xf numFmtId="10" fontId="8" fillId="3" borderId="213" xfId="0" applyNumberFormat="1" applyFont="1" applyFill="1" applyBorder="1"/>
    <xf numFmtId="37" fontId="8" fillId="3" borderId="69" xfId="0" applyNumberFormat="1" applyFont="1" applyFill="1" applyBorder="1"/>
    <xf numFmtId="0" fontId="3" fillId="3" borderId="69" xfId="0" applyFont="1" applyFill="1" applyBorder="1"/>
    <xf numFmtId="38" fontId="3" fillId="3" borderId="69" xfId="0" applyNumberFormat="1" applyFont="1" applyFill="1" applyBorder="1"/>
    <xf numFmtId="165" fontId="3" fillId="3" borderId="69" xfId="0" applyNumberFormat="1" applyFont="1" applyFill="1" applyBorder="1"/>
    <xf numFmtId="38" fontId="6" fillId="0" borderId="81" xfId="0" applyNumberFormat="1" applyFont="1" applyBorder="1"/>
    <xf numFmtId="38" fontId="8" fillId="0" borderId="261" xfId="0" applyNumberFormat="1" applyFont="1" applyBorder="1"/>
    <xf numFmtId="38" fontId="8" fillId="0" borderId="262" xfId="0" applyNumberFormat="1" applyFont="1" applyBorder="1"/>
    <xf numFmtId="38" fontId="8" fillId="0" borderId="161" xfId="0" applyNumberFormat="1" applyFont="1" applyBorder="1"/>
    <xf numFmtId="38" fontId="51" fillId="0" borderId="1" xfId="10" applyNumberFormat="1" applyBorder="1"/>
    <xf numFmtId="38" fontId="51" fillId="0" borderId="29" xfId="10" applyNumberFormat="1" applyBorder="1"/>
    <xf numFmtId="38" fontId="53" fillId="0" borderId="29" xfId="10" applyNumberFormat="1" applyFont="1" applyBorder="1"/>
    <xf numFmtId="0" fontId="13" fillId="0" borderId="0" xfId="0" applyFont="1" applyAlignment="1">
      <alignment horizontal="center"/>
    </xf>
    <xf numFmtId="0" fontId="7" fillId="0" borderId="85" xfId="0" applyFont="1" applyFill="1" applyBorder="1" applyAlignment="1">
      <alignment horizontal="center"/>
    </xf>
    <xf numFmtId="38" fontId="9" fillId="4" borderId="0" xfId="0" quotePrefix="1" applyNumberFormat="1" applyFont="1" applyFill="1" applyAlignment="1">
      <alignment horizontal="center"/>
    </xf>
    <xf numFmtId="0" fontId="6" fillId="0" borderId="103" xfId="0" applyFont="1" applyBorder="1" applyAlignment="1">
      <alignment horizontal="center"/>
    </xf>
    <xf numFmtId="0" fontId="5" fillId="0" borderId="263" xfId="0" applyFont="1" applyBorder="1" applyAlignment="1">
      <alignment horizontal="center"/>
    </xf>
    <xf numFmtId="0" fontId="12" fillId="0" borderId="0" xfId="0" applyFont="1"/>
    <xf numFmtId="0" fontId="5" fillId="0" borderId="220" xfId="0" applyFont="1" applyBorder="1" applyAlignment="1">
      <alignment horizontal="center" wrapText="1"/>
    </xf>
    <xf numFmtId="0" fontId="5" fillId="0" borderId="85" xfId="0" applyFont="1" applyBorder="1" applyAlignment="1">
      <alignment horizontal="center" wrapText="1"/>
    </xf>
    <xf numFmtId="0" fontId="5" fillId="0" borderId="80" xfId="0" applyFont="1" applyBorder="1" applyAlignment="1">
      <alignment horizontal="center" wrapText="1"/>
    </xf>
    <xf numFmtId="38" fontId="2" fillId="0" borderId="225" xfId="0" applyNumberFormat="1" applyFont="1" applyBorder="1"/>
    <xf numFmtId="38" fontId="2" fillId="0" borderId="228" xfId="0" applyNumberFormat="1" applyFont="1" applyBorder="1"/>
    <xf numFmtId="38" fontId="2" fillId="0" borderId="233" xfId="0" applyNumberFormat="1" applyFont="1" applyBorder="1"/>
    <xf numFmtId="38" fontId="2" fillId="0" borderId="226" xfId="0" applyNumberFormat="1" applyFont="1" applyBorder="1"/>
    <xf numFmtId="38" fontId="8" fillId="0" borderId="234" xfId="0" applyNumberFormat="1" applyFont="1" applyBorder="1"/>
    <xf numFmtId="38" fontId="14" fillId="0" borderId="0" xfId="0" applyNumberFormat="1" applyFont="1" applyAlignment="1">
      <alignment horizontal="center"/>
    </xf>
    <xf numFmtId="0" fontId="24" fillId="0" borderId="69" xfId="0" applyFont="1" applyBorder="1"/>
    <xf numFmtId="0" fontId="24" fillId="0" borderId="20" xfId="0" applyFont="1" applyBorder="1"/>
    <xf numFmtId="0" fontId="24" fillId="0" borderId="210" xfId="0" applyFont="1" applyBorder="1"/>
    <xf numFmtId="0" fontId="24" fillId="0" borderId="17" xfId="0" applyFont="1" applyBorder="1" applyAlignment="1">
      <alignment horizontal="center"/>
    </xf>
    <xf numFmtId="0" fontId="24" fillId="0" borderId="211" xfId="0" applyFont="1" applyBorder="1" applyAlignment="1">
      <alignment horizontal="center"/>
    </xf>
    <xf numFmtId="0" fontId="24" fillId="0" borderId="94" xfId="0" applyFont="1" applyFill="1" applyBorder="1"/>
    <xf numFmtId="164" fontId="11" fillId="0" borderId="20" xfId="0" applyNumberFormat="1" applyFont="1" applyFill="1" applyBorder="1"/>
    <xf numFmtId="165" fontId="11" fillId="0" borderId="210" xfId="0" applyNumberFormat="1" applyFont="1" applyBorder="1"/>
    <xf numFmtId="164" fontId="11" fillId="0" borderId="89" xfId="0" applyNumberFormat="1" applyFont="1" applyFill="1" applyBorder="1"/>
    <xf numFmtId="165" fontId="11" fillId="0" borderId="214" xfId="0" applyNumberFormat="1" applyFont="1" applyBorder="1"/>
    <xf numFmtId="165" fontId="11" fillId="0" borderId="215" xfId="0" applyNumberFormat="1" applyFont="1" applyBorder="1"/>
    <xf numFmtId="165" fontId="11" fillId="0" borderId="216" xfId="0" applyNumberFormat="1" applyFont="1" applyBorder="1"/>
    <xf numFmtId="38" fontId="11" fillId="0" borderId="17" xfId="0" applyNumberFormat="1" applyFont="1" applyBorder="1"/>
    <xf numFmtId="165" fontId="11" fillId="0" borderId="211" xfId="0" applyNumberFormat="1" applyFont="1" applyBorder="1"/>
    <xf numFmtId="38" fontId="56" fillId="0" borderId="20" xfId="0" applyNumberFormat="1" applyFont="1" applyBorder="1"/>
    <xf numFmtId="0" fontId="11" fillId="0" borderId="20" xfId="0" applyFont="1" applyFill="1" applyBorder="1"/>
    <xf numFmtId="164" fontId="11" fillId="0" borderId="17" xfId="1" applyNumberFormat="1" applyFont="1" applyFill="1" applyBorder="1"/>
    <xf numFmtId="38" fontId="11" fillId="0" borderId="95" xfId="0" applyNumberFormat="1" applyFont="1" applyFill="1" applyBorder="1"/>
    <xf numFmtId="165" fontId="11" fillId="0" borderId="217" xfId="0" applyNumberFormat="1" applyFont="1" applyBorder="1"/>
    <xf numFmtId="38" fontId="11" fillId="3" borderId="69" xfId="0" applyNumberFormat="1" applyFont="1" applyFill="1" applyBorder="1"/>
    <xf numFmtId="165" fontId="11" fillId="3" borderId="69" xfId="0" applyNumberFormat="1" applyFont="1" applyFill="1" applyBorder="1"/>
    <xf numFmtId="164" fontId="11" fillId="0" borderId="17" xfId="0" applyNumberFormat="1" applyFont="1" applyFill="1" applyBorder="1"/>
    <xf numFmtId="0" fontId="24" fillId="0" borderId="0" xfId="0" applyFont="1" applyAlignment="1">
      <alignment horizontal="center"/>
    </xf>
    <xf numFmtId="0" fontId="37" fillId="0" borderId="85" xfId="0" applyFont="1" applyFill="1" applyBorder="1" applyAlignment="1">
      <alignment horizontal="center"/>
    </xf>
    <xf numFmtId="0" fontId="37" fillId="4" borderId="27" xfId="0" applyFont="1" applyFill="1" applyBorder="1" applyAlignment="1"/>
    <xf numFmtId="0" fontId="65" fillId="4" borderId="11" xfId="0" applyFont="1" applyFill="1" applyBorder="1" applyAlignment="1"/>
    <xf numFmtId="0" fontId="72" fillId="4" borderId="11" xfId="10" applyFont="1" applyFill="1" applyBorder="1" applyAlignment="1">
      <alignment horizontal="center"/>
    </xf>
    <xf numFmtId="0" fontId="72" fillId="4" borderId="33" xfId="10" applyFont="1" applyFill="1" applyBorder="1" applyAlignment="1">
      <alignment horizontal="center"/>
    </xf>
    <xf numFmtId="0" fontId="24" fillId="4" borderId="11" xfId="0" applyFont="1" applyFill="1" applyBorder="1"/>
    <xf numFmtId="38" fontId="11" fillId="4" borderId="11" xfId="0" applyNumberFormat="1" applyFont="1" applyFill="1" applyBorder="1"/>
    <xf numFmtId="38" fontId="11" fillId="4" borderId="12" xfId="0" applyNumberFormat="1" applyFont="1" applyFill="1" applyBorder="1"/>
    <xf numFmtId="38" fontId="11" fillId="4" borderId="13" xfId="0" applyNumberFormat="1" applyFont="1" applyFill="1" applyBorder="1"/>
    <xf numFmtId="38" fontId="11" fillId="4" borderId="14" xfId="0" applyNumberFormat="1" applyFont="1" applyFill="1" applyBorder="1"/>
    <xf numFmtId="38" fontId="56" fillId="4" borderId="16" xfId="0" applyNumberFormat="1" applyFont="1" applyFill="1" applyBorder="1"/>
    <xf numFmtId="38" fontId="56" fillId="3" borderId="69" xfId="0" applyNumberFormat="1" applyFont="1" applyFill="1" applyBorder="1"/>
    <xf numFmtId="38" fontId="14" fillId="4" borderId="0" xfId="0" applyNumberFormat="1" applyFont="1" applyFill="1" applyAlignment="1">
      <alignment horizontal="left"/>
    </xf>
    <xf numFmtId="0" fontId="24" fillId="0" borderId="45" xfId="0" applyFont="1" applyBorder="1" applyAlignment="1">
      <alignment horizontal="center"/>
    </xf>
    <xf numFmtId="0" fontId="24" fillId="0" borderId="18" xfId="0" applyFont="1" applyBorder="1" applyAlignment="1">
      <alignment horizontal="center"/>
    </xf>
    <xf numFmtId="0" fontId="15" fillId="0" borderId="69" xfId="0" applyFont="1" applyBorder="1" applyAlignment="1">
      <alignment horizontal="center"/>
    </xf>
    <xf numFmtId="0" fontId="6" fillId="0" borderId="46" xfId="0" applyFont="1" applyBorder="1" applyAlignment="1">
      <alignment horizontal="center" vertical="top"/>
    </xf>
    <xf numFmtId="0" fontId="6" fillId="0" borderId="57" xfId="0" applyFont="1" applyBorder="1" applyAlignment="1">
      <alignment horizontal="center" vertical="top"/>
    </xf>
    <xf numFmtId="0" fontId="6" fillId="0" borderId="102" xfId="0" applyFont="1" applyBorder="1" applyAlignment="1">
      <alignment horizontal="center" vertical="top"/>
    </xf>
    <xf numFmtId="0" fontId="4" fillId="0" borderId="40" xfId="0" applyFont="1" applyFill="1" applyBorder="1" applyAlignment="1">
      <alignment horizontal="center"/>
    </xf>
    <xf numFmtId="0" fontId="7" fillId="0" borderId="0" xfId="0" applyFont="1" applyAlignment="1">
      <alignment horizontal="center"/>
    </xf>
    <xf numFmtId="0" fontId="0" fillId="0" borderId="0" xfId="0" applyAlignment="1"/>
    <xf numFmtId="0" fontId="13" fillId="0" borderId="0" xfId="0" applyFont="1" applyAlignment="1">
      <alignment horizontal="center"/>
    </xf>
    <xf numFmtId="0" fontId="5" fillId="11" borderId="169" xfId="0" applyFont="1" applyFill="1" applyBorder="1" applyAlignment="1">
      <alignment horizontal="center"/>
    </xf>
    <xf numFmtId="0" fontId="5" fillId="11" borderId="171" xfId="0" applyFont="1" applyFill="1" applyBorder="1" applyAlignment="1">
      <alignment horizontal="center"/>
    </xf>
    <xf numFmtId="0" fontId="6" fillId="0" borderId="171" xfId="0" applyFont="1" applyBorder="1" applyAlignment="1">
      <alignment horizontal="center"/>
    </xf>
    <xf numFmtId="0" fontId="53" fillId="11" borderId="245" xfId="10" applyFont="1" applyFill="1" applyBorder="1" applyAlignment="1">
      <alignment horizontal="center"/>
    </xf>
    <xf numFmtId="0" fontId="53" fillId="11" borderId="246" xfId="10" applyFont="1" applyFill="1" applyBorder="1" applyAlignment="1">
      <alignment horizontal="center"/>
    </xf>
    <xf numFmtId="0" fontId="7" fillId="0" borderId="0" xfId="0" applyFont="1" applyFill="1" applyAlignment="1">
      <alignment horizontal="center"/>
    </xf>
    <xf numFmtId="0" fontId="4" fillId="0" borderId="0" xfId="0" applyFont="1" applyAlignment="1">
      <alignment horizontal="center"/>
    </xf>
    <xf numFmtId="0" fontId="5" fillId="11" borderId="9" xfId="0" applyFont="1" applyFill="1" applyBorder="1" applyAlignment="1">
      <alignment horizontal="center"/>
    </xf>
    <xf numFmtId="0" fontId="5" fillId="11" borderId="85" xfId="0" applyFont="1" applyFill="1" applyBorder="1" applyAlignment="1">
      <alignment horizontal="center"/>
    </xf>
    <xf numFmtId="0" fontId="5" fillId="11" borderId="36" xfId="0" applyFont="1" applyFill="1" applyBorder="1" applyAlignment="1">
      <alignment horizontal="center"/>
    </xf>
    <xf numFmtId="0" fontId="57" fillId="0" borderId="9" xfId="10" applyFont="1" applyBorder="1" applyAlignment="1">
      <alignment horizontal="center"/>
    </xf>
    <xf numFmtId="0" fontId="57" fillId="0" borderId="85" xfId="10" applyFont="1" applyBorder="1" applyAlignment="1">
      <alignment horizontal="center"/>
    </xf>
    <xf numFmtId="0" fontId="57" fillId="0" borderId="36" xfId="10" applyFont="1" applyBorder="1" applyAlignment="1">
      <alignment horizontal="center"/>
    </xf>
    <xf numFmtId="0" fontId="42" fillId="11" borderId="169" xfId="0" applyFont="1" applyFill="1" applyBorder="1" applyAlignment="1">
      <alignment horizontal="center"/>
    </xf>
    <xf numFmtId="0" fontId="42" fillId="11" borderId="171" xfId="0" applyFont="1" applyFill="1" applyBorder="1" applyAlignment="1">
      <alignment horizontal="center"/>
    </xf>
    <xf numFmtId="0" fontId="42" fillId="11" borderId="170" xfId="0" applyFont="1" applyFill="1" applyBorder="1" applyAlignment="1">
      <alignment horizontal="center"/>
    </xf>
    <xf numFmtId="0" fontId="67" fillId="0" borderId="0" xfId="0" applyFont="1" applyAlignment="1">
      <alignment horizontal="center" wrapText="1"/>
    </xf>
    <xf numFmtId="0" fontId="18" fillId="0" borderId="0" xfId="0" applyFont="1" applyAlignment="1">
      <alignment horizontal="center" wrapText="1"/>
    </xf>
    <xf numFmtId="0" fontId="18" fillId="0" borderId="21" xfId="0" applyFont="1" applyBorder="1" applyAlignment="1">
      <alignment horizontal="center" wrapText="1"/>
    </xf>
    <xf numFmtId="0" fontId="18" fillId="0" borderId="85" xfId="0" applyFont="1" applyBorder="1" applyAlignment="1">
      <alignment horizontal="center" wrapText="1"/>
    </xf>
    <xf numFmtId="0" fontId="18" fillId="0" borderId="36" xfId="0" applyFont="1" applyBorder="1" applyAlignment="1">
      <alignment horizontal="center" wrapText="1"/>
    </xf>
    <xf numFmtId="38" fontId="18" fillId="0" borderId="0" xfId="0" applyNumberFormat="1" applyFont="1" applyAlignment="1">
      <alignment horizontal="left"/>
    </xf>
    <xf numFmtId="38" fontId="18" fillId="4" borderId="0" xfId="0" quotePrefix="1" applyNumberFormat="1" applyFont="1" applyFill="1" applyAlignment="1">
      <alignment horizontal="center"/>
    </xf>
    <xf numFmtId="0" fontId="6" fillId="0" borderId="17" xfId="0" applyFont="1" applyBorder="1" applyAlignment="1">
      <alignment horizontal="center"/>
    </xf>
    <xf numFmtId="0" fontId="6" fillId="0" borderId="40" xfId="0" applyFont="1" applyBorder="1" applyAlignment="1">
      <alignment horizontal="center"/>
    </xf>
    <xf numFmtId="0" fontId="6" fillId="0" borderId="18" xfId="0" applyFont="1" applyBorder="1" applyAlignment="1">
      <alignment horizontal="center"/>
    </xf>
    <xf numFmtId="0" fontId="57" fillId="0" borderId="225" xfId="10" applyFont="1" applyBorder="1" applyAlignment="1">
      <alignment horizontal="center" wrapText="1"/>
    </xf>
    <xf numFmtId="0" fontId="57" fillId="0" borderId="210" xfId="10" applyFont="1" applyBorder="1" applyAlignment="1">
      <alignment horizontal="center" wrapText="1"/>
    </xf>
    <xf numFmtId="0" fontId="57" fillId="0" borderId="238" xfId="10" applyFont="1" applyBorder="1" applyAlignment="1">
      <alignment horizontal="center" wrapText="1"/>
    </xf>
    <xf numFmtId="0" fontId="57" fillId="0" borderId="239" xfId="10" applyFont="1" applyBorder="1" applyAlignment="1">
      <alignment horizontal="center" wrapText="1"/>
    </xf>
    <xf numFmtId="0" fontId="71" fillId="0" borderId="20" xfId="10" applyFont="1" applyFill="1" applyBorder="1" applyAlignment="1">
      <alignment horizontal="center" wrapText="1"/>
    </xf>
    <xf numFmtId="0" fontId="71" fillId="0" borderId="210" xfId="10" applyFont="1" applyFill="1" applyBorder="1" applyAlignment="1">
      <alignment horizontal="center" wrapText="1"/>
    </xf>
    <xf numFmtId="0" fontId="71" fillId="0" borderId="81" xfId="10" applyFont="1" applyFill="1" applyBorder="1" applyAlignment="1">
      <alignment horizontal="center" wrapText="1"/>
    </xf>
    <xf numFmtId="0" fontId="71" fillId="0" borderId="213" xfId="10" applyFont="1" applyFill="1" applyBorder="1" applyAlignment="1">
      <alignment horizontal="center" wrapText="1"/>
    </xf>
    <xf numFmtId="0" fontId="60" fillId="0" borderId="0" xfId="0" applyFont="1" applyAlignment="1">
      <alignment horizontal="center"/>
    </xf>
    <xf numFmtId="0" fontId="5" fillId="0" borderId="0" xfId="0" applyFont="1" applyAlignment="1">
      <alignment horizontal="center"/>
    </xf>
    <xf numFmtId="0" fontId="52" fillId="11" borderId="259" xfId="0" applyFont="1" applyFill="1" applyBorder="1" applyAlignment="1">
      <alignment horizontal="center" vertical="center" textRotation="180"/>
    </xf>
    <xf numFmtId="0" fontId="52" fillId="11" borderId="29" xfId="0" applyFont="1" applyFill="1" applyBorder="1" applyAlignment="1">
      <alignment horizontal="center" vertical="center" textRotation="180"/>
    </xf>
    <xf numFmtId="0" fontId="52" fillId="11" borderId="49" xfId="0" applyFont="1" applyFill="1" applyBorder="1" applyAlignment="1">
      <alignment horizontal="center" vertical="center" textRotation="180"/>
    </xf>
    <xf numFmtId="0" fontId="6" fillId="0" borderId="0" xfId="0" applyFont="1" applyBorder="1" applyAlignment="1">
      <alignment horizontal="center"/>
    </xf>
    <xf numFmtId="0" fontId="6" fillId="12" borderId="17" xfId="0" applyFont="1" applyFill="1" applyBorder="1" applyAlignment="1">
      <alignment horizontal="left" vertical="center" wrapText="1"/>
    </xf>
    <xf numFmtId="0" fontId="6" fillId="12" borderId="18"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6" fillId="12" borderId="241" xfId="0" applyFont="1" applyFill="1" applyBorder="1" applyAlignment="1">
      <alignment horizontal="left" wrapText="1"/>
    </xf>
    <xf numFmtId="0" fontId="6" fillId="12" borderId="242" xfId="0" applyFont="1" applyFill="1" applyBorder="1" applyAlignment="1">
      <alignment horizontal="left" wrapText="1"/>
    </xf>
    <xf numFmtId="0" fontId="57" fillId="0" borderId="81" xfId="10" applyFont="1" applyFill="1" applyBorder="1" applyAlignment="1">
      <alignment horizontal="center" wrapText="1"/>
    </xf>
    <xf numFmtId="0" fontId="57" fillId="0" borderId="213" xfId="10" applyFont="1" applyFill="1" applyBorder="1" applyAlignment="1">
      <alignment horizontal="center" wrapText="1"/>
    </xf>
    <xf numFmtId="0" fontId="57" fillId="0" borderId="20" xfId="10" applyFont="1" applyFill="1" applyBorder="1" applyAlignment="1">
      <alignment horizontal="center" wrapText="1"/>
    </xf>
    <xf numFmtId="0" fontId="57" fillId="0" borderId="210" xfId="10" applyFont="1" applyFill="1" applyBorder="1" applyAlignment="1">
      <alignment horizontal="center" wrapText="1"/>
    </xf>
    <xf numFmtId="0" fontId="15" fillId="0" borderId="0" xfId="0" applyFont="1" applyFill="1" applyBorder="1" applyAlignment="1">
      <alignment horizontal="center" vertical="center" wrapText="1"/>
    </xf>
    <xf numFmtId="0" fontId="15" fillId="0" borderId="85" xfId="0" applyFont="1" applyFill="1" applyBorder="1" applyAlignment="1">
      <alignment horizontal="center" vertical="center" wrapText="1"/>
    </xf>
    <xf numFmtId="0" fontId="42" fillId="0" borderId="85" xfId="0" applyFont="1" applyFill="1" applyBorder="1" applyAlignment="1">
      <alignment horizontal="center"/>
    </xf>
    <xf numFmtId="0" fontId="7" fillId="0" borderId="85" xfId="0" applyFont="1" applyFill="1" applyBorder="1" applyAlignment="1">
      <alignment horizontal="center"/>
    </xf>
    <xf numFmtId="0" fontId="6" fillId="10" borderId="169" xfId="0" applyFont="1" applyFill="1" applyBorder="1" applyAlignment="1">
      <alignment horizontal="center"/>
    </xf>
    <xf numFmtId="0" fontId="6" fillId="10" borderId="170" xfId="0" applyFont="1" applyFill="1" applyBorder="1" applyAlignment="1">
      <alignment horizontal="center"/>
    </xf>
    <xf numFmtId="0" fontId="6" fillId="0" borderId="169" xfId="0" applyFont="1" applyBorder="1" applyAlignment="1">
      <alignment horizontal="center"/>
    </xf>
    <xf numFmtId="0" fontId="10" fillId="0" borderId="17" xfId="0" applyFont="1" applyBorder="1" applyAlignment="1">
      <alignment horizontal="center"/>
    </xf>
    <xf numFmtId="0" fontId="10" fillId="0" borderId="40" xfId="0" applyFont="1" applyBorder="1" applyAlignment="1">
      <alignment horizontal="center"/>
    </xf>
    <xf numFmtId="0" fontId="4" fillId="0" borderId="165" xfId="0" applyFont="1" applyFill="1" applyBorder="1" applyAlignment="1">
      <alignment horizontal="center"/>
    </xf>
    <xf numFmtId="0" fontId="4" fillId="0" borderId="126" xfId="0" applyFont="1" applyFill="1" applyBorder="1" applyAlignment="1">
      <alignment horizontal="center"/>
    </xf>
    <xf numFmtId="0" fontId="10" fillId="0" borderId="20" xfId="0" applyFont="1" applyFill="1" applyBorder="1" applyAlignment="1">
      <alignment horizontal="center" wrapText="1"/>
    </xf>
    <xf numFmtId="0" fontId="10" fillId="0" borderId="0" xfId="0" applyFont="1" applyFill="1" applyBorder="1" applyAlignment="1">
      <alignment horizontal="center" wrapText="1"/>
    </xf>
    <xf numFmtId="0" fontId="10" fillId="0" borderId="81" xfId="0" applyFont="1" applyFill="1" applyBorder="1" applyAlignment="1">
      <alignment horizontal="center" wrapText="1"/>
    </xf>
    <xf numFmtId="0" fontId="10" fillId="0" borderId="69" xfId="0" applyFont="1" applyFill="1" applyBorder="1" applyAlignment="1">
      <alignment horizontal="center" wrapText="1"/>
    </xf>
    <xf numFmtId="0" fontId="4" fillId="7" borderId="81" xfId="0" applyFont="1" applyFill="1" applyBorder="1" applyAlignment="1">
      <alignment horizontal="center" wrapText="1"/>
    </xf>
    <xf numFmtId="0" fontId="4" fillId="7" borderId="69" xfId="0" applyFont="1" applyFill="1" applyBorder="1" applyAlignment="1">
      <alignment horizontal="center" wrapText="1"/>
    </xf>
    <xf numFmtId="0" fontId="4" fillId="7" borderId="17" xfId="0" applyFont="1" applyFill="1" applyBorder="1" applyAlignment="1">
      <alignment horizontal="center" wrapText="1"/>
    </xf>
    <xf numFmtId="0" fontId="4" fillId="7" borderId="40" xfId="0" applyFont="1" applyFill="1" applyBorder="1" applyAlignment="1">
      <alignment horizontal="center" wrapText="1"/>
    </xf>
    <xf numFmtId="0" fontId="4" fillId="7" borderId="0" xfId="0" applyFont="1" applyFill="1" applyBorder="1" applyAlignment="1">
      <alignment horizontal="center" wrapText="1"/>
    </xf>
    <xf numFmtId="0" fontId="4" fillId="7" borderId="19" xfId="0" applyFont="1" applyFill="1" applyBorder="1" applyAlignment="1">
      <alignment horizontal="center" wrapText="1"/>
    </xf>
    <xf numFmtId="0" fontId="4" fillId="7" borderId="208" xfId="0" applyFont="1" applyFill="1" applyBorder="1" applyAlignment="1">
      <alignment horizontal="center" wrapText="1"/>
    </xf>
    <xf numFmtId="0" fontId="4" fillId="7" borderId="209" xfId="0" applyFont="1" applyFill="1" applyBorder="1" applyAlignment="1">
      <alignment horizontal="center" wrapText="1"/>
    </xf>
    <xf numFmtId="0" fontId="42" fillId="0" borderId="0" xfId="0" applyFont="1" applyFill="1" applyBorder="1" applyAlignment="1">
      <alignment horizontal="center"/>
    </xf>
    <xf numFmtId="0" fontId="6" fillId="0" borderId="166" xfId="0" applyFont="1" applyBorder="1" applyAlignment="1">
      <alignment horizontal="center"/>
    </xf>
    <xf numFmtId="0" fontId="6" fillId="0" borderId="167" xfId="0" applyFont="1" applyBorder="1" applyAlignment="1">
      <alignment horizontal="center"/>
    </xf>
    <xf numFmtId="0" fontId="6" fillId="0" borderId="168" xfId="0" applyFont="1" applyBorder="1" applyAlignment="1">
      <alignment horizontal="center"/>
    </xf>
    <xf numFmtId="0" fontId="6" fillId="0" borderId="9" xfId="0" applyFont="1" applyBorder="1" applyAlignment="1">
      <alignment horizontal="center"/>
    </xf>
    <xf numFmtId="0" fontId="6" fillId="0" borderId="85" xfId="0" applyFont="1" applyBorder="1" applyAlignment="1">
      <alignment horizontal="center"/>
    </xf>
    <xf numFmtId="0" fontId="6" fillId="0" borderId="36" xfId="0" applyFont="1" applyBorder="1" applyAlignment="1">
      <alignment horizontal="center"/>
    </xf>
    <xf numFmtId="0" fontId="6" fillId="0" borderId="166" xfId="0" applyFont="1" applyFill="1" applyBorder="1" applyAlignment="1">
      <alignment horizontal="center" vertical="center"/>
    </xf>
    <xf numFmtId="0" fontId="6" fillId="0" borderId="167" xfId="0" applyFont="1" applyFill="1" applyBorder="1" applyAlignment="1">
      <alignment horizontal="center" vertical="center"/>
    </xf>
    <xf numFmtId="0" fontId="6" fillId="0" borderId="168" xfId="0" applyFont="1" applyFill="1" applyBorder="1" applyAlignment="1">
      <alignment horizontal="center" vertical="center"/>
    </xf>
    <xf numFmtId="38" fontId="14" fillId="0" borderId="0" xfId="0" applyNumberFormat="1" applyFont="1" applyAlignment="1">
      <alignment horizontal="left"/>
    </xf>
    <xf numFmtId="38" fontId="9" fillId="4" borderId="0" xfId="0" quotePrefix="1" applyNumberFormat="1" applyFont="1" applyFill="1" applyAlignment="1">
      <alignment horizontal="center"/>
    </xf>
    <xf numFmtId="38" fontId="9" fillId="0" borderId="0" xfId="0" applyNumberFormat="1" applyFont="1" applyAlignment="1">
      <alignment horizontal="left"/>
    </xf>
    <xf numFmtId="0" fontId="4" fillId="0" borderId="204" xfId="0" applyFont="1" applyFill="1" applyBorder="1" applyAlignment="1">
      <alignment horizontal="center"/>
    </xf>
    <xf numFmtId="0" fontId="4" fillId="0" borderId="205" xfId="0" applyFont="1" applyFill="1" applyBorder="1" applyAlignment="1">
      <alignment horizontal="center"/>
    </xf>
    <xf numFmtId="0" fontId="4" fillId="0" borderId="206" xfId="0" applyFont="1" applyFill="1" applyBorder="1" applyAlignment="1">
      <alignment horizontal="center"/>
    </xf>
    <xf numFmtId="0" fontId="4" fillId="0" borderId="207" xfId="0" applyFont="1" applyFill="1" applyBorder="1" applyAlignment="1">
      <alignment horizontal="center"/>
    </xf>
    <xf numFmtId="0" fontId="10" fillId="7" borderId="17" xfId="0" applyFont="1" applyFill="1" applyBorder="1" applyAlignment="1">
      <alignment horizontal="center"/>
    </xf>
    <xf numFmtId="0" fontId="10" fillId="7" borderId="40" xfId="0" applyFont="1" applyFill="1" applyBorder="1" applyAlignment="1">
      <alignment horizontal="center"/>
    </xf>
    <xf numFmtId="0" fontId="10" fillId="7" borderId="18" xfId="0" applyFont="1" applyFill="1" applyBorder="1" applyAlignment="1">
      <alignment horizontal="center"/>
    </xf>
    <xf numFmtId="0" fontId="46" fillId="7" borderId="20" xfId="0" applyFont="1" applyFill="1" applyBorder="1" applyAlignment="1">
      <alignment horizontal="center"/>
    </xf>
    <xf numFmtId="0" fontId="46" fillId="7" borderId="0" xfId="0" applyFont="1" applyFill="1" applyBorder="1" applyAlignment="1">
      <alignment horizontal="center"/>
    </xf>
    <xf numFmtId="0" fontId="6" fillId="6" borderId="169" xfId="0" applyFont="1" applyFill="1" applyBorder="1" applyAlignment="1">
      <alignment horizontal="center"/>
    </xf>
    <xf numFmtId="0" fontId="6" fillId="6" borderId="170" xfId="0" applyFont="1" applyFill="1" applyBorder="1" applyAlignment="1">
      <alignment horizontal="center"/>
    </xf>
    <xf numFmtId="0" fontId="15" fillId="6" borderId="0" xfId="0" applyFont="1" applyFill="1" applyBorder="1" applyAlignment="1">
      <alignment horizontal="center" vertical="center" wrapText="1"/>
    </xf>
    <xf numFmtId="0" fontId="15" fillId="6" borderId="85" xfId="0" applyFont="1" applyFill="1" applyBorder="1" applyAlignment="1">
      <alignment horizontal="center" vertical="center" wrapText="1"/>
    </xf>
    <xf numFmtId="38" fontId="14" fillId="0" borderId="0" xfId="0" applyNumberFormat="1" applyFont="1" applyAlignment="1">
      <alignment horizontal="center"/>
    </xf>
    <xf numFmtId="38" fontId="9" fillId="4" borderId="0" xfId="0" applyNumberFormat="1" applyFont="1" applyFill="1" applyAlignment="1">
      <alignment horizontal="left"/>
    </xf>
    <xf numFmtId="0" fontId="7" fillId="0" borderId="0" xfId="0" applyFont="1" applyFill="1" applyAlignment="1">
      <alignment horizontal="left"/>
    </xf>
    <xf numFmtId="0" fontId="42" fillId="0" borderId="0" xfId="0" applyFont="1" applyAlignment="1">
      <alignment horizontal="center"/>
    </xf>
    <xf numFmtId="0" fontId="10" fillId="0" borderId="18" xfId="0" applyFont="1" applyBorder="1" applyAlignment="1">
      <alignment horizontal="center"/>
    </xf>
    <xf numFmtId="0" fontId="10" fillId="6" borderId="20" xfId="0" applyFont="1" applyFill="1" applyBorder="1" applyAlignment="1">
      <alignment horizontal="center" wrapText="1"/>
    </xf>
    <xf numFmtId="0" fontId="10" fillId="6" borderId="19" xfId="0" applyFont="1" applyFill="1" applyBorder="1" applyAlignment="1">
      <alignment horizontal="center" wrapText="1"/>
    </xf>
    <xf numFmtId="0" fontId="10" fillId="6" borderId="81" xfId="0" applyFont="1" applyFill="1" applyBorder="1" applyAlignment="1">
      <alignment horizontal="center" wrapText="1"/>
    </xf>
    <xf numFmtId="0" fontId="10" fillId="6" borderId="172" xfId="0" applyFont="1" applyFill="1" applyBorder="1" applyAlignment="1">
      <alignment horizontal="center" wrapText="1"/>
    </xf>
    <xf numFmtId="38" fontId="11" fillId="0" borderId="34" xfId="0" applyNumberFormat="1" applyFont="1" applyBorder="1" applyAlignment="1">
      <alignment horizontal="right"/>
    </xf>
    <xf numFmtId="0" fontId="6" fillId="0" borderId="170" xfId="0" applyFont="1" applyBorder="1" applyAlignment="1">
      <alignment horizontal="center"/>
    </xf>
    <xf numFmtId="0" fontId="17" fillId="0" borderId="167" xfId="0" applyFont="1" applyBorder="1" applyAlignment="1">
      <alignment horizontal="center"/>
    </xf>
    <xf numFmtId="0" fontId="17" fillId="0" borderId="168" xfId="0" applyFont="1" applyBorder="1" applyAlignment="1">
      <alignment horizontal="center"/>
    </xf>
    <xf numFmtId="0" fontId="6" fillId="0" borderId="10" xfId="0" applyFont="1" applyBorder="1" applyAlignment="1">
      <alignment horizontal="center"/>
    </xf>
    <xf numFmtId="0" fontId="6" fillId="0" borderId="103" xfId="0" applyFont="1" applyBorder="1" applyAlignment="1">
      <alignment horizontal="center"/>
    </xf>
    <xf numFmtId="0" fontId="4" fillId="0" borderId="173" xfId="0" applyFont="1" applyFill="1" applyBorder="1" applyAlignment="1">
      <alignment horizontal="center"/>
    </xf>
    <xf numFmtId="0" fontId="4" fillId="0" borderId="174" xfId="0" applyFont="1" applyFill="1" applyBorder="1" applyAlignment="1">
      <alignment horizontal="center"/>
    </xf>
    <xf numFmtId="0" fontId="73" fillId="0" borderId="0" xfId="0" applyFont="1"/>
  </cellXfs>
  <cellStyles count="11">
    <cellStyle name="Comma" xfId="1" builtinId="3"/>
    <cellStyle name="Comma 2" xfId="2"/>
    <cellStyle name="Currency" xfId="3" builtinId="4"/>
    <cellStyle name="Hyperlink" xfId="10" builtinId="8"/>
    <cellStyle name="Normal" xfId="0" builtinId="0"/>
    <cellStyle name="Normal 2" xfId="4"/>
    <cellStyle name="Percent" xfId="5" builtinId="5"/>
    <cellStyle name="Percent 2" xfId="6"/>
    <cellStyle name="Percent 2 2" xfId="7"/>
    <cellStyle name="Percent 3" xfId="8"/>
    <cellStyle name="Percent 4" xfId="9"/>
  </cellStyles>
  <dxfs count="0"/>
  <tableStyles count="0" defaultTableStyle="TableStyleMedium9" defaultPivotStyle="PivotStyleLight16"/>
  <colors>
    <mruColors>
      <color rgb="FFFF66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QESDS2\OFA\DBF\FY%202013\6.%20HHS%20Justification\10.%20HHS%20Passback\Detail%20of%20Changes%20-%202013%20HHS%20PASSBACK%20with%20linked%20workshee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QESDS2\Data\OFA\DBF\FY%202013\7.%20OMB%20Justification\1.%20Overview\6.%20Detail%20of%20Changes%20-%20FY%202013%20OMBJ%20-%20ready%209.15.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HHSAlternate Level"/>
      <sheetName val="2013 HHS Passback MMB"/>
      <sheetName val="2013 HHS Passback"/>
      <sheetName val="worksheet"/>
      <sheetName val="2013 HHSJ Briefing"/>
    </sheetNames>
    <sheetDataSet>
      <sheetData sheetId="0" refreshError="1"/>
      <sheetData sheetId="1" refreshError="1"/>
      <sheetData sheetId="2" refreshError="1"/>
      <sheetData sheetId="3" refreshError="1">
        <row r="17">
          <cell r="E17">
            <v>0</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OMBJ Final"/>
      <sheetName val="2013 OMBJ w-2012 Hs 25%"/>
      <sheetName val="FY 2012 House Mark"/>
      <sheetName val="2013 OMBJ -10%"/>
    </sheetNames>
    <sheetDataSet>
      <sheetData sheetId="0">
        <row r="6">
          <cell r="E6">
            <v>1</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75" x14ac:dyDescent="0.2"/>
  <sheetData/>
  <customSheetViews>
    <customSheetView guid="{A9887A3C-DBFC-4155-B59B-2AC88E02797A}" state="hidden">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E79"/>
  <sheetViews>
    <sheetView topLeftCell="A4" zoomScale="80" zoomScaleNormal="80" zoomScaleSheetLayoutView="90" zoomScalePageLayoutView="70" workbookViewId="0">
      <selection activeCell="E19" sqref="E19"/>
    </sheetView>
  </sheetViews>
  <sheetFormatPr defaultRowHeight="12.75" x14ac:dyDescent="0.2"/>
  <cols>
    <col min="1" max="1" width="32.85546875" customWidth="1"/>
    <col min="2" max="2" width="12.42578125" customWidth="1"/>
    <col min="3" max="3" width="11.42578125" customWidth="1"/>
    <col min="4" max="4" width="10.42578125" customWidth="1"/>
    <col min="5" max="5" width="6.7109375" customWidth="1"/>
    <col min="6" max="6" width="7.28515625" customWidth="1"/>
    <col min="7" max="8" width="7.28515625" bestFit="1" customWidth="1"/>
    <col min="9" max="9" width="9.28515625" bestFit="1" customWidth="1"/>
    <col min="10" max="10" width="9.28515625" customWidth="1"/>
    <col min="11" max="11" width="8.140625" bestFit="1" customWidth="1"/>
    <col min="12" max="12" width="8.140625" customWidth="1"/>
    <col min="13" max="13" width="10.42578125" bestFit="1" customWidth="1"/>
    <col min="14" max="14" width="10" bestFit="1" customWidth="1"/>
    <col min="15" max="15" width="10.42578125" customWidth="1"/>
    <col min="16" max="20" width="8.5703125" customWidth="1"/>
    <col min="21" max="21" width="8.140625" customWidth="1"/>
    <col min="22" max="22" width="9.42578125" customWidth="1"/>
    <col min="23" max="23" width="14.140625" customWidth="1"/>
    <col min="24" max="24" width="1.28515625" customWidth="1"/>
    <col min="25" max="25" width="9.7109375" customWidth="1"/>
    <col min="26" max="26" width="6.42578125" customWidth="1"/>
    <col min="27" max="27" width="1.140625" customWidth="1"/>
    <col min="28" max="28" width="0.5703125" customWidth="1"/>
    <col min="29" max="29" width="11.5703125" customWidth="1"/>
    <col min="30" max="30" width="8.140625" customWidth="1"/>
    <col min="31" max="31" width="9.5703125" customWidth="1"/>
    <col min="32" max="32" width="7.7109375" customWidth="1"/>
    <col min="33" max="33" width="9.140625" customWidth="1"/>
    <col min="34" max="34" width="11.140625" customWidth="1"/>
    <col min="35" max="35" width="11.85546875" customWidth="1"/>
    <col min="36" max="36" width="1.140625" customWidth="1"/>
    <col min="37" max="37" width="9.28515625" style="236" customWidth="1"/>
    <col min="38" max="38" width="5.85546875" style="236" customWidth="1"/>
    <col min="39" max="39" width="0.7109375" style="236" customWidth="1"/>
    <col min="40" max="40" width="6.7109375" style="236" customWidth="1"/>
    <col min="41" max="41" width="6.42578125" style="236" customWidth="1"/>
    <col min="42" max="42" width="5.7109375" style="236" hidden="1" customWidth="1"/>
    <col min="43" max="43" width="3.7109375" style="236" customWidth="1"/>
    <col min="44" max="44" width="4.5703125" style="236" customWidth="1"/>
    <col min="45" max="46" width="9.140625" style="236" customWidth="1"/>
    <col min="53" max="56" width="0" hidden="1" customWidth="1"/>
    <col min="57" max="57" width="13.42578125" hidden="1" customWidth="1"/>
  </cols>
  <sheetData>
    <row r="1" spans="1:57" ht="18.75" x14ac:dyDescent="0.3">
      <c r="A1" s="1034" t="s">
        <v>25</v>
      </c>
      <c r="B1" s="1034"/>
      <c r="C1" s="1034"/>
      <c r="D1" s="1034"/>
      <c r="E1" s="1034"/>
      <c r="F1" s="1034"/>
      <c r="G1" s="1034"/>
      <c r="H1" s="1034"/>
      <c r="I1" s="1034"/>
      <c r="J1" s="1034"/>
      <c r="K1" s="1034"/>
      <c r="L1" s="1034"/>
      <c r="M1" s="1034"/>
      <c r="N1" s="1034"/>
      <c r="O1" s="1034"/>
      <c r="P1" s="1034"/>
      <c r="Q1" s="1034"/>
      <c r="R1" s="1034"/>
      <c r="S1" s="1034"/>
      <c r="T1" s="1034"/>
      <c r="U1" s="1034"/>
      <c r="V1" s="1034"/>
      <c r="W1" s="1034"/>
      <c r="X1" s="1034"/>
      <c r="Y1" s="1034"/>
      <c r="Z1" s="1034"/>
      <c r="AA1" s="1034"/>
      <c r="AB1" s="1034"/>
      <c r="AC1" s="1034"/>
      <c r="AD1" s="1034"/>
      <c r="AE1" s="1034"/>
      <c r="AF1" s="1034"/>
      <c r="AG1" s="1034"/>
      <c r="AH1" s="1034"/>
      <c r="AI1" s="1034"/>
      <c r="AJ1" s="380"/>
    </row>
    <row r="2" spans="1:57" ht="18.75" x14ac:dyDescent="0.3">
      <c r="A2" s="1042" t="s">
        <v>122</v>
      </c>
      <c r="B2" s="1042"/>
      <c r="C2" s="1042"/>
      <c r="D2" s="1042"/>
      <c r="E2" s="1042"/>
      <c r="F2" s="1042"/>
      <c r="G2" s="1042"/>
      <c r="H2" s="1042"/>
      <c r="I2" s="1042"/>
      <c r="J2" s="1042"/>
      <c r="K2" s="1042"/>
      <c r="L2" s="1042"/>
      <c r="M2" s="1042"/>
      <c r="N2" s="1042"/>
      <c r="O2" s="1042"/>
      <c r="P2" s="1042"/>
      <c r="Q2" s="1042"/>
      <c r="R2" s="1042"/>
      <c r="S2" s="1042"/>
      <c r="T2" s="1042"/>
      <c r="U2" s="1042"/>
      <c r="V2" s="1042"/>
      <c r="W2" s="1042"/>
      <c r="X2" s="1042"/>
      <c r="Y2" s="1042"/>
      <c r="Z2" s="1042"/>
      <c r="AA2" s="1042"/>
      <c r="AB2" s="1042"/>
      <c r="AC2" s="1042"/>
      <c r="AD2" s="1042"/>
      <c r="AE2" s="1042"/>
      <c r="AF2" s="1042"/>
      <c r="AG2" s="1042"/>
      <c r="AH2" s="1042"/>
      <c r="AI2" s="1042"/>
      <c r="AJ2" s="382"/>
    </row>
    <row r="3" spans="1:57" ht="18.75" x14ac:dyDescent="0.3">
      <c r="A3" s="1034" t="s">
        <v>103</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642"/>
    </row>
    <row r="4" spans="1:57" ht="15.75" customHeight="1" thickBot="1" x14ac:dyDescent="0.25">
      <c r="A4" s="1036" t="s">
        <v>39</v>
      </c>
      <c r="B4" s="1036"/>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381"/>
    </row>
    <row r="5" spans="1:57" ht="15.75" customHeight="1" thickTop="1" x14ac:dyDescent="0.2">
      <c r="A5" s="381"/>
      <c r="B5" s="381"/>
      <c r="C5" s="381"/>
      <c r="D5" s="381"/>
      <c r="E5" s="381"/>
      <c r="F5" s="381"/>
      <c r="G5" s="381"/>
      <c r="H5" s="381"/>
      <c r="I5" s="381"/>
      <c r="J5" s="381"/>
      <c r="K5" s="381"/>
      <c r="L5" s="381"/>
      <c r="M5" s="381"/>
      <c r="N5" s="381"/>
      <c r="O5" s="381"/>
      <c r="P5" s="381"/>
      <c r="Q5" s="381"/>
      <c r="R5" s="381"/>
      <c r="S5" s="381"/>
      <c r="T5" s="381"/>
      <c r="U5" s="381"/>
      <c r="V5" s="381"/>
      <c r="W5" s="381"/>
      <c r="X5" s="381"/>
      <c r="AB5" s="602"/>
      <c r="AC5" s="603"/>
      <c r="AD5" s="603"/>
      <c r="AE5" s="603"/>
      <c r="AF5" s="603"/>
      <c r="AG5" s="603"/>
      <c r="AH5" s="603"/>
      <c r="AI5" s="603"/>
      <c r="AJ5" s="603"/>
      <c r="AK5" s="604"/>
      <c r="AL5" s="604"/>
      <c r="AM5" s="604"/>
      <c r="AN5" s="604"/>
      <c r="AO5" s="604"/>
      <c r="AP5" s="604"/>
      <c r="AQ5" s="605"/>
      <c r="AR5" s="606"/>
    </row>
    <row r="6" spans="1:57" ht="20.100000000000001" customHeight="1" thickBot="1" x14ac:dyDescent="0.35">
      <c r="A6" s="79"/>
      <c r="B6" s="79"/>
      <c r="C6" s="1087"/>
      <c r="D6" s="225"/>
      <c r="E6" s="1089"/>
      <c r="F6" s="1090"/>
      <c r="G6" s="1090"/>
      <c r="H6" s="1090"/>
      <c r="I6" s="1090"/>
      <c r="J6" s="1090"/>
      <c r="K6" s="1090"/>
      <c r="L6" s="1090"/>
      <c r="M6" s="1090"/>
      <c r="N6" s="1090"/>
      <c r="O6" s="226"/>
      <c r="P6" s="265"/>
      <c r="Q6" s="265"/>
      <c r="R6" s="265"/>
      <c r="S6" s="265"/>
      <c r="T6" s="265"/>
      <c r="U6" s="265"/>
      <c r="V6" s="265"/>
      <c r="W6" s="253"/>
      <c r="X6" s="253"/>
      <c r="Y6" s="236"/>
      <c r="Z6" s="236"/>
      <c r="AA6" s="236"/>
      <c r="AB6" s="606"/>
      <c r="AC6" s="514"/>
      <c r="AD6" s="514"/>
      <c r="AE6" s="514"/>
      <c r="AF6" s="514"/>
      <c r="AG6" s="514"/>
      <c r="AH6" s="514"/>
      <c r="AI6" s="514"/>
      <c r="AJ6" s="514"/>
      <c r="AK6" s="1110"/>
      <c r="AL6" s="1110"/>
      <c r="AM6" s="641"/>
      <c r="AN6" s="251"/>
      <c r="AO6" s="251"/>
      <c r="AP6" s="225"/>
      <c r="AQ6" s="627"/>
      <c r="AR6" s="628"/>
    </row>
    <row r="7" spans="1:57" ht="20.100000000000001" customHeight="1" thickBot="1" x14ac:dyDescent="0.3">
      <c r="A7" s="229"/>
      <c r="B7" s="230"/>
      <c r="C7" s="1088"/>
      <c r="D7" s="230"/>
      <c r="E7" s="1111" t="s">
        <v>87</v>
      </c>
      <c r="F7" s="1112"/>
      <c r="G7" s="1112"/>
      <c r="H7" s="1112"/>
      <c r="I7" s="1112"/>
      <c r="J7" s="1113"/>
      <c r="K7" s="1111" t="s">
        <v>80</v>
      </c>
      <c r="L7" s="1112"/>
      <c r="M7" s="1112"/>
      <c r="N7" s="1113"/>
      <c r="O7" s="248"/>
      <c r="P7" s="1114" t="s">
        <v>106</v>
      </c>
      <c r="Q7" s="1115"/>
      <c r="R7" s="1115"/>
      <c r="S7" s="1115"/>
      <c r="T7" s="1115"/>
      <c r="U7" s="1115"/>
      <c r="V7" s="1116"/>
      <c r="W7" s="228"/>
      <c r="X7" s="228"/>
      <c r="Y7" s="236"/>
      <c r="Z7" s="236"/>
      <c r="AA7" s="236"/>
      <c r="AB7" s="606"/>
      <c r="AC7" s="1117" t="s">
        <v>126</v>
      </c>
      <c r="AD7" s="1118"/>
      <c r="AE7" s="1118"/>
      <c r="AF7" s="1118"/>
      <c r="AG7" s="1118"/>
      <c r="AH7" s="1119"/>
      <c r="AI7" s="575"/>
      <c r="AJ7" s="575"/>
      <c r="AK7" s="239"/>
      <c r="AL7" s="239"/>
      <c r="AM7" s="239"/>
      <c r="AN7" s="240"/>
      <c r="AO7" s="240"/>
      <c r="AP7" s="239"/>
      <c r="AQ7" s="607"/>
      <c r="AR7" s="629"/>
    </row>
    <row r="8" spans="1:57" ht="15.75" customHeight="1" x14ac:dyDescent="0.3">
      <c r="A8" s="232"/>
      <c r="B8" s="1091" t="s">
        <v>102</v>
      </c>
      <c r="C8" s="1092"/>
      <c r="D8" s="463" t="s">
        <v>124</v>
      </c>
      <c r="E8" s="1093" t="s">
        <v>78</v>
      </c>
      <c r="F8" s="1039"/>
      <c r="G8" s="1039"/>
      <c r="H8" s="1039"/>
      <c r="I8" s="1039"/>
      <c r="J8" s="69"/>
      <c r="K8" s="1093" t="s">
        <v>78</v>
      </c>
      <c r="L8" s="1039"/>
      <c r="M8" s="1039"/>
      <c r="N8" s="246"/>
      <c r="O8" s="428" t="s">
        <v>54</v>
      </c>
      <c r="P8" s="1093"/>
      <c r="Q8" s="1039"/>
      <c r="R8" s="1039"/>
      <c r="S8" s="1039"/>
      <c r="T8" s="1039"/>
      <c r="U8" s="1039"/>
      <c r="V8" s="440"/>
      <c r="W8" s="411"/>
      <c r="X8" s="523"/>
      <c r="Y8" s="1094" t="s">
        <v>100</v>
      </c>
      <c r="Z8" s="1095"/>
      <c r="AA8" s="569"/>
      <c r="AB8" s="608"/>
      <c r="AC8" s="1123"/>
      <c r="AD8" s="1124"/>
      <c r="AE8" s="1124"/>
      <c r="AF8" s="1125"/>
      <c r="AG8" s="1126"/>
      <c r="AH8" s="490"/>
      <c r="AI8" s="636" t="s">
        <v>119</v>
      </c>
      <c r="AJ8" s="492"/>
      <c r="AK8" s="1127" t="s">
        <v>100</v>
      </c>
      <c r="AL8" s="1128"/>
      <c r="AM8" s="1128"/>
      <c r="AN8" s="1128"/>
      <c r="AO8" s="1129"/>
      <c r="AQ8" s="531"/>
      <c r="AR8" s="606"/>
    </row>
    <row r="9" spans="1:57" s="23" customFormat="1" ht="15.75" customHeight="1" x14ac:dyDescent="0.25">
      <c r="A9" s="55"/>
      <c r="B9" s="649"/>
      <c r="D9" s="458"/>
      <c r="E9" s="119"/>
      <c r="F9" s="119"/>
      <c r="G9" s="300"/>
      <c r="H9" s="301"/>
      <c r="I9" s="299"/>
      <c r="J9" s="70"/>
      <c r="K9" s="120" t="s">
        <v>90</v>
      </c>
      <c r="L9" s="316" t="s">
        <v>94</v>
      </c>
      <c r="M9" s="312" t="s">
        <v>96</v>
      </c>
      <c r="N9" s="247"/>
      <c r="O9" s="429" t="s">
        <v>81</v>
      </c>
      <c r="P9" s="328"/>
      <c r="Q9" s="328"/>
      <c r="R9" s="328"/>
      <c r="S9" s="328"/>
      <c r="T9" s="329"/>
      <c r="U9" s="328"/>
      <c r="V9" s="441"/>
      <c r="W9" s="412" t="s">
        <v>110</v>
      </c>
      <c r="X9" s="523"/>
      <c r="Y9" s="37"/>
      <c r="Z9" s="119"/>
      <c r="AA9" s="570"/>
      <c r="AB9" s="609"/>
      <c r="AC9" s="582"/>
      <c r="AD9" s="564"/>
      <c r="AE9" s="564"/>
      <c r="AF9" s="643"/>
      <c r="AG9" s="583"/>
      <c r="AH9" s="509" t="s">
        <v>125</v>
      </c>
      <c r="AI9" s="637" t="s">
        <v>110</v>
      </c>
      <c r="AJ9" s="493"/>
      <c r="AK9" s="1130"/>
      <c r="AL9" s="1131"/>
      <c r="AM9" s="549"/>
      <c r="AN9" s="529"/>
      <c r="AO9" s="576"/>
      <c r="AP9" s="227"/>
      <c r="AQ9" s="610"/>
      <c r="AR9" s="630"/>
      <c r="AS9" s="234"/>
      <c r="AT9" s="241"/>
    </row>
    <row r="10" spans="1:57" ht="15.75" customHeight="1" x14ac:dyDescent="0.25">
      <c r="A10" s="14"/>
      <c r="B10" s="650"/>
      <c r="C10" s="660" t="s">
        <v>52</v>
      </c>
      <c r="D10" s="464"/>
      <c r="E10" s="120" t="s">
        <v>41</v>
      </c>
      <c r="F10" s="120" t="s">
        <v>60</v>
      </c>
      <c r="G10" s="1096" t="s">
        <v>34</v>
      </c>
      <c r="H10" s="1097"/>
      <c r="I10" s="36"/>
      <c r="J10" s="71" t="s">
        <v>54</v>
      </c>
      <c r="K10" s="120" t="s">
        <v>91</v>
      </c>
      <c r="L10" s="317" t="s">
        <v>95</v>
      </c>
      <c r="M10" s="311" t="s">
        <v>92</v>
      </c>
      <c r="N10" s="234" t="s">
        <v>76</v>
      </c>
      <c r="O10" s="430" t="s">
        <v>76</v>
      </c>
      <c r="P10" s="398"/>
      <c r="Q10" s="120"/>
      <c r="R10" s="317"/>
      <c r="S10" s="120"/>
      <c r="T10" s="317"/>
      <c r="U10" s="327"/>
      <c r="V10" s="430" t="s">
        <v>56</v>
      </c>
      <c r="W10" s="412" t="s">
        <v>47</v>
      </c>
      <c r="X10" s="523"/>
      <c r="Y10" s="1098" t="s">
        <v>133</v>
      </c>
      <c r="Z10" s="1099"/>
      <c r="AA10" s="571"/>
      <c r="AB10" s="611"/>
      <c r="AC10" s="584"/>
      <c r="AD10" s="565"/>
      <c r="AE10" s="565"/>
      <c r="AF10" s="644"/>
      <c r="AG10" s="585"/>
      <c r="AH10" s="509" t="s">
        <v>115</v>
      </c>
      <c r="AI10" s="637" t="s">
        <v>47</v>
      </c>
      <c r="AJ10" s="493"/>
      <c r="AK10" s="1102" t="s">
        <v>134</v>
      </c>
      <c r="AL10" s="1103"/>
      <c r="AM10" s="541"/>
      <c r="AN10" s="1106" t="s">
        <v>123</v>
      </c>
      <c r="AO10" s="1107"/>
      <c r="AP10" s="120"/>
      <c r="AQ10" s="612"/>
      <c r="AR10" s="631"/>
      <c r="AS10" s="234"/>
    </row>
    <row r="11" spans="1:57" ht="16.5" customHeight="1" x14ac:dyDescent="0.25">
      <c r="A11" s="14"/>
      <c r="B11" s="650" t="s">
        <v>131</v>
      </c>
      <c r="C11" s="661" t="s">
        <v>58</v>
      </c>
      <c r="D11" s="464" t="s">
        <v>45</v>
      </c>
      <c r="E11" s="126" t="s">
        <v>26</v>
      </c>
      <c r="F11" s="126" t="s">
        <v>26</v>
      </c>
      <c r="G11" s="141" t="s">
        <v>57</v>
      </c>
      <c r="H11" s="322"/>
      <c r="I11" s="323" t="s">
        <v>35</v>
      </c>
      <c r="J11" s="71" t="s">
        <v>44</v>
      </c>
      <c r="K11" s="255" t="s">
        <v>92</v>
      </c>
      <c r="L11" s="318" t="s">
        <v>71</v>
      </c>
      <c r="M11" s="311" t="s">
        <v>97</v>
      </c>
      <c r="N11" s="234" t="s">
        <v>77</v>
      </c>
      <c r="O11" s="430" t="s">
        <v>82</v>
      </c>
      <c r="P11" s="399"/>
      <c r="Q11" s="397"/>
      <c r="R11" s="325"/>
      <c r="S11" s="325"/>
      <c r="T11" s="325"/>
      <c r="U11" s="325"/>
      <c r="V11" s="430" t="s">
        <v>86</v>
      </c>
      <c r="W11" s="413" t="s">
        <v>43</v>
      </c>
      <c r="X11" s="523"/>
      <c r="Y11" s="1100"/>
      <c r="Z11" s="1101"/>
      <c r="AA11" s="571"/>
      <c r="AB11" s="611"/>
      <c r="AC11" s="586"/>
      <c r="AD11" s="566"/>
      <c r="AE11" s="566"/>
      <c r="AF11" s="645"/>
      <c r="AG11" s="587"/>
      <c r="AH11" s="509" t="s">
        <v>116</v>
      </c>
      <c r="AI11" s="637" t="s">
        <v>43</v>
      </c>
      <c r="AJ11" s="493"/>
      <c r="AK11" s="1104"/>
      <c r="AL11" s="1105"/>
      <c r="AM11" s="541"/>
      <c r="AN11" s="1108"/>
      <c r="AO11" s="1109"/>
      <c r="AP11" s="120"/>
      <c r="AQ11" s="612"/>
      <c r="AR11" s="631"/>
      <c r="AS11" s="234"/>
    </row>
    <row r="12" spans="1:57" ht="18" customHeight="1" thickBot="1" x14ac:dyDescent="0.3">
      <c r="A12" s="15" t="s">
        <v>0</v>
      </c>
      <c r="B12" s="651" t="s">
        <v>74</v>
      </c>
      <c r="C12" s="661" t="s">
        <v>105</v>
      </c>
      <c r="D12" s="465" t="s">
        <v>46</v>
      </c>
      <c r="E12" s="255" t="s">
        <v>61</v>
      </c>
      <c r="F12" s="140"/>
      <c r="G12" s="143" t="s">
        <v>49</v>
      </c>
      <c r="H12" s="321" t="s">
        <v>49</v>
      </c>
      <c r="I12" s="324" t="s">
        <v>36</v>
      </c>
      <c r="J12" s="72" t="s">
        <v>27</v>
      </c>
      <c r="K12" s="275" t="s">
        <v>93</v>
      </c>
      <c r="L12" s="291" t="s">
        <v>98</v>
      </c>
      <c r="M12" s="313" t="s">
        <v>93</v>
      </c>
      <c r="N12" s="235" t="s">
        <v>27</v>
      </c>
      <c r="O12" s="431" t="s">
        <v>68</v>
      </c>
      <c r="P12" s="400"/>
      <c r="Q12" s="275"/>
      <c r="R12" s="291"/>
      <c r="S12" s="275"/>
      <c r="T12" s="291"/>
      <c r="U12" s="275"/>
      <c r="V12" s="431" t="s">
        <v>27</v>
      </c>
      <c r="W12" s="414" t="s">
        <v>83</v>
      </c>
      <c r="X12" s="523"/>
      <c r="Y12" s="34" t="s">
        <v>28</v>
      </c>
      <c r="Z12" s="515" t="s">
        <v>29</v>
      </c>
      <c r="AA12" s="493"/>
      <c r="AB12" s="613"/>
      <c r="AC12" s="588"/>
      <c r="AD12" s="567"/>
      <c r="AE12" s="567"/>
      <c r="AF12" s="646"/>
      <c r="AG12" s="589"/>
      <c r="AH12" s="510" t="s">
        <v>27</v>
      </c>
      <c r="AI12" s="638" t="s">
        <v>68</v>
      </c>
      <c r="AJ12" s="493"/>
      <c r="AK12" s="34" t="s">
        <v>28</v>
      </c>
      <c r="AL12" s="515" t="s">
        <v>29</v>
      </c>
      <c r="AM12" s="542"/>
      <c r="AN12" s="545" t="s">
        <v>28</v>
      </c>
      <c r="AO12" s="577" t="s">
        <v>29</v>
      </c>
      <c r="AP12" s="120"/>
      <c r="AQ12" s="612"/>
      <c r="AR12" s="631"/>
      <c r="AS12" s="234"/>
    </row>
    <row r="13" spans="1:57" ht="15.75" x14ac:dyDescent="0.25">
      <c r="A13" s="3" t="s">
        <v>17</v>
      </c>
      <c r="B13" s="652"/>
      <c r="C13" s="662"/>
      <c r="D13" s="466"/>
      <c r="E13" s="270"/>
      <c r="F13" s="273"/>
      <c r="G13" s="270"/>
      <c r="H13" s="137"/>
      <c r="I13" s="274"/>
      <c r="J13" s="73"/>
      <c r="K13" s="236"/>
      <c r="L13" s="292"/>
      <c r="M13" s="36"/>
      <c r="N13" s="236"/>
      <c r="O13" s="432"/>
      <c r="P13" s="285"/>
      <c r="Q13" s="236"/>
      <c r="R13" s="292"/>
      <c r="S13" s="236"/>
      <c r="T13" s="292"/>
      <c r="U13" s="236"/>
      <c r="V13" s="432"/>
      <c r="W13" s="415"/>
      <c r="X13" s="524"/>
      <c r="Y13" s="389"/>
      <c r="Z13" s="236"/>
      <c r="AA13" s="494"/>
      <c r="AB13" s="614"/>
      <c r="AC13" s="590"/>
      <c r="AD13" s="489"/>
      <c r="AE13" s="489"/>
      <c r="AF13" s="647"/>
      <c r="AG13" s="591"/>
      <c r="AH13" s="551"/>
      <c r="AI13" s="552"/>
      <c r="AJ13" s="494"/>
      <c r="AK13" s="498"/>
      <c r="AL13" s="530"/>
      <c r="AM13" s="543"/>
      <c r="AO13" s="36"/>
      <c r="AQ13" s="531"/>
      <c r="AR13" s="606"/>
    </row>
    <row r="14" spans="1:57" ht="16.5" x14ac:dyDescent="0.3">
      <c r="A14" s="263" t="s">
        <v>1</v>
      </c>
      <c r="B14" s="664">
        <v>0</v>
      </c>
      <c r="C14" s="376">
        <v>0</v>
      </c>
      <c r="D14" s="665">
        <v>0</v>
      </c>
      <c r="E14" s="207">
        <v>5050</v>
      </c>
      <c r="F14" s="58">
        <v>7777</v>
      </c>
      <c r="G14" s="207">
        <v>2317</v>
      </c>
      <c r="H14" s="58">
        <v>21358</v>
      </c>
      <c r="I14" s="217">
        <v>33525</v>
      </c>
      <c r="J14" s="74">
        <f>SUM(E14:I14)</f>
        <v>70027</v>
      </c>
      <c r="K14" s="267">
        <v>75000</v>
      </c>
      <c r="L14" s="319">
        <v>0</v>
      </c>
      <c r="M14" s="314">
        <v>0</v>
      </c>
      <c r="N14" s="237">
        <f>SUM(K14:M14)</f>
        <v>75000</v>
      </c>
      <c r="O14" s="433">
        <f>+J14+N14</f>
        <v>145027</v>
      </c>
      <c r="P14" s="286">
        <v>0</v>
      </c>
      <c r="Q14" s="58">
        <v>0</v>
      </c>
      <c r="R14" s="293">
        <v>0</v>
      </c>
      <c r="S14" s="58">
        <v>0</v>
      </c>
      <c r="T14" s="293">
        <v>0</v>
      </c>
      <c r="U14" s="58">
        <v>0</v>
      </c>
      <c r="V14" s="425">
        <f>SUM(P14:U14)</f>
        <v>0</v>
      </c>
      <c r="W14" s="416">
        <f>+B14+O14+V14</f>
        <v>145027</v>
      </c>
      <c r="X14" s="525"/>
      <c r="Y14" s="390">
        <f>W14-B14</f>
        <v>145027</v>
      </c>
      <c r="Z14" s="516">
        <f t="shared" ref="Z14:Z31" si="0">IF(B14=0,0,Y14/B14)</f>
        <v>0</v>
      </c>
      <c r="AA14" s="572"/>
      <c r="AB14" s="615"/>
      <c r="AC14" s="592">
        <v>0</v>
      </c>
      <c r="AD14" s="511">
        <v>0</v>
      </c>
      <c r="AE14" s="511">
        <v>0</v>
      </c>
      <c r="AF14" s="648">
        <v>0</v>
      </c>
      <c r="AG14" s="593">
        <v>0</v>
      </c>
      <c r="AH14" s="553">
        <f>SUM(AC14:AG14)</f>
        <v>0</v>
      </c>
      <c r="AI14" s="554">
        <f>SUM(W14+AH14)</f>
        <v>145027</v>
      </c>
      <c r="AJ14" s="495"/>
      <c r="AK14" s="499">
        <f>AI14-B14</f>
        <v>145027</v>
      </c>
      <c r="AL14" s="532">
        <f t="shared" ref="AL14:AL23" si="1">IF(B14=0,0,AK14/B14)</f>
        <v>0</v>
      </c>
      <c r="AM14" s="544"/>
      <c r="AN14" s="124">
        <f>AI14-W14</f>
        <v>0</v>
      </c>
      <c r="AO14" s="127">
        <f t="shared" ref="AO14:AO31" si="2">IF(W14=0,0,AN14/W14)</f>
        <v>0</v>
      </c>
      <c r="AP14" s="207"/>
      <c r="AQ14" s="616"/>
      <c r="AR14" s="632"/>
      <c r="AS14" s="207"/>
      <c r="BA14" s="207">
        <f>+AZ14-AY14</f>
        <v>0</v>
      </c>
      <c r="BE14" s="95">
        <v>314221804</v>
      </c>
    </row>
    <row r="15" spans="1:57" ht="15.75" customHeight="1" x14ac:dyDescent="0.3">
      <c r="A15" s="263" t="s">
        <v>2</v>
      </c>
      <c r="B15" s="664">
        <v>0</v>
      </c>
      <c r="C15" s="376">
        <v>0</v>
      </c>
      <c r="D15" s="665">
        <v>0</v>
      </c>
      <c r="E15" s="207">
        <v>678</v>
      </c>
      <c r="F15" s="58">
        <v>722</v>
      </c>
      <c r="G15" s="207">
        <v>53</v>
      </c>
      <c r="H15" s="58">
        <v>1816</v>
      </c>
      <c r="I15" s="217">
        <v>3162</v>
      </c>
      <c r="J15" s="74">
        <f>SUM(E15:I15)</f>
        <v>6431</v>
      </c>
      <c r="K15" s="267">
        <v>0</v>
      </c>
      <c r="L15" s="319">
        <v>0</v>
      </c>
      <c r="M15" s="217">
        <v>0</v>
      </c>
      <c r="N15" s="237">
        <f>SUM(K15:M15)</f>
        <v>0</v>
      </c>
      <c r="O15" s="433">
        <f>+J15+N15</f>
        <v>6431</v>
      </c>
      <c r="P15" s="286">
        <v>0</v>
      </c>
      <c r="Q15" s="58">
        <v>0</v>
      </c>
      <c r="R15" s="293">
        <v>0</v>
      </c>
      <c r="S15" s="58">
        <v>0</v>
      </c>
      <c r="T15" s="293">
        <v>0</v>
      </c>
      <c r="U15" s="58">
        <v>0</v>
      </c>
      <c r="V15" s="425">
        <f>SUM(P15:U15)</f>
        <v>0</v>
      </c>
      <c r="W15" s="416">
        <f>+B15+O15+V15</f>
        <v>6431</v>
      </c>
      <c r="X15" s="525"/>
      <c r="Y15" s="390">
        <f>W15-B15</f>
        <v>6431</v>
      </c>
      <c r="Z15" s="516">
        <f t="shared" si="0"/>
        <v>0</v>
      </c>
      <c r="AA15" s="572"/>
      <c r="AB15" s="615"/>
      <c r="AC15" s="592">
        <v>0</v>
      </c>
      <c r="AD15" s="511">
        <v>0</v>
      </c>
      <c r="AE15" s="511">
        <v>0</v>
      </c>
      <c r="AF15" s="648">
        <v>0</v>
      </c>
      <c r="AG15" s="593">
        <v>0</v>
      </c>
      <c r="AH15" s="553">
        <f>SUM(AC15:AG15)</f>
        <v>0</v>
      </c>
      <c r="AI15" s="554">
        <f>SUM(W15+AH15)</f>
        <v>6431</v>
      </c>
      <c r="AJ15" s="495"/>
      <c r="AK15" s="499">
        <f>AI15-B15</f>
        <v>6431</v>
      </c>
      <c r="AL15" s="532">
        <f t="shared" si="1"/>
        <v>0</v>
      </c>
      <c r="AM15" s="544"/>
      <c r="AN15" s="124">
        <f>AI15-W15</f>
        <v>0</v>
      </c>
      <c r="AO15" s="127">
        <f t="shared" si="2"/>
        <v>0</v>
      </c>
      <c r="AP15" s="207"/>
      <c r="AQ15" s="616"/>
      <c r="AR15" s="632"/>
      <c r="AS15" s="207"/>
      <c r="BA15" s="207">
        <f>+AZ15-AY15</f>
        <v>0</v>
      </c>
      <c r="BE15" s="95">
        <v>29863402</v>
      </c>
    </row>
    <row r="16" spans="1:57" ht="16.5" x14ac:dyDescent="0.3">
      <c r="A16" s="263" t="s">
        <v>3</v>
      </c>
      <c r="B16" s="664">
        <v>0</v>
      </c>
      <c r="C16" s="376">
        <v>0</v>
      </c>
      <c r="D16" s="665">
        <v>0</v>
      </c>
      <c r="E16" s="207">
        <v>243</v>
      </c>
      <c r="F16" s="58">
        <v>373</v>
      </c>
      <c r="G16" s="207">
        <v>26</v>
      </c>
      <c r="H16" s="58">
        <v>980</v>
      </c>
      <c r="I16" s="217">
        <v>1476</v>
      </c>
      <c r="J16" s="74">
        <f>SUM(E16:I16)</f>
        <v>3098</v>
      </c>
      <c r="K16" s="268">
        <v>0</v>
      </c>
      <c r="L16" s="320">
        <v>0</v>
      </c>
      <c r="M16" s="217">
        <v>0</v>
      </c>
      <c r="N16" s="237">
        <f>SUM(K16:M16)</f>
        <v>0</v>
      </c>
      <c r="O16" s="433">
        <f>+J16+N16</f>
        <v>3098</v>
      </c>
      <c r="P16" s="286">
        <v>0</v>
      </c>
      <c r="Q16" s="58">
        <v>0</v>
      </c>
      <c r="R16" s="293">
        <v>0</v>
      </c>
      <c r="S16" s="58">
        <v>0</v>
      </c>
      <c r="T16" s="293">
        <v>0</v>
      </c>
      <c r="U16" s="58">
        <v>0</v>
      </c>
      <c r="V16" s="425">
        <f>SUM(P16:U16)</f>
        <v>0</v>
      </c>
      <c r="W16" s="416">
        <f>+B16+O16+V16</f>
        <v>3098</v>
      </c>
      <c r="X16" s="525"/>
      <c r="Y16" s="390">
        <f>W16-B16</f>
        <v>3098</v>
      </c>
      <c r="Z16" s="516">
        <f t="shared" si="0"/>
        <v>0</v>
      </c>
      <c r="AA16" s="572"/>
      <c r="AB16" s="615"/>
      <c r="AC16" s="592">
        <v>0</v>
      </c>
      <c r="AD16" s="511">
        <v>0</v>
      </c>
      <c r="AE16" s="511">
        <v>0</v>
      </c>
      <c r="AF16" s="648">
        <v>0</v>
      </c>
      <c r="AG16" s="593">
        <v>0</v>
      </c>
      <c r="AH16" s="553">
        <f>SUM(AC16:AG16)</f>
        <v>0</v>
      </c>
      <c r="AI16" s="554">
        <f>SUM(W16+AH16)</f>
        <v>3098</v>
      </c>
      <c r="AJ16" s="495"/>
      <c r="AK16" s="499">
        <f>AI16-B16</f>
        <v>3098</v>
      </c>
      <c r="AL16" s="532">
        <f t="shared" si="1"/>
        <v>0</v>
      </c>
      <c r="AM16" s="544"/>
      <c r="AN16" s="124">
        <f>AI16-W16</f>
        <v>0</v>
      </c>
      <c r="AO16" s="127">
        <f t="shared" si="2"/>
        <v>0</v>
      </c>
      <c r="AP16" s="207"/>
      <c r="AQ16" s="616"/>
      <c r="AR16" s="632"/>
      <c r="AS16" s="207"/>
      <c r="BA16" s="207">
        <f>+AZ16-AY16</f>
        <v>0</v>
      </c>
      <c r="BE16" s="95">
        <v>11174379</v>
      </c>
    </row>
    <row r="17" spans="1:57" ht="16.5" x14ac:dyDescent="0.3">
      <c r="A17" s="263" t="s">
        <v>4</v>
      </c>
      <c r="B17" s="664">
        <v>0</v>
      </c>
      <c r="C17" s="376">
        <v>0</v>
      </c>
      <c r="D17" s="665">
        <v>0</v>
      </c>
      <c r="E17" s="207">
        <v>177</v>
      </c>
      <c r="F17" s="58">
        <v>1157</v>
      </c>
      <c r="G17" s="207">
        <v>34</v>
      </c>
      <c r="H17" s="58">
        <v>2835</v>
      </c>
      <c r="I17" s="217">
        <v>3489</v>
      </c>
      <c r="J17" s="74">
        <f>SUM(E17:I17)</f>
        <v>7692</v>
      </c>
      <c r="K17" s="268">
        <v>0</v>
      </c>
      <c r="L17" s="320">
        <v>0</v>
      </c>
      <c r="M17" s="217">
        <v>0</v>
      </c>
      <c r="N17" s="237">
        <f>SUM(K17:M17)</f>
        <v>0</v>
      </c>
      <c r="O17" s="433">
        <f>+J17+N17</f>
        <v>7692</v>
      </c>
      <c r="P17" s="286">
        <v>0</v>
      </c>
      <c r="Q17" s="58">
        <v>0</v>
      </c>
      <c r="R17" s="293">
        <v>0</v>
      </c>
      <c r="S17" s="58">
        <v>0</v>
      </c>
      <c r="T17" s="293">
        <v>0</v>
      </c>
      <c r="U17" s="58">
        <v>0</v>
      </c>
      <c r="V17" s="425">
        <f>SUM(P17:U17)</f>
        <v>0</v>
      </c>
      <c r="W17" s="416">
        <f>+B17+O17+V17</f>
        <v>7692</v>
      </c>
      <c r="X17" s="525"/>
      <c r="Y17" s="390">
        <f>W17-B17</f>
        <v>7692</v>
      </c>
      <c r="Z17" s="516">
        <f t="shared" si="0"/>
        <v>0</v>
      </c>
      <c r="AA17" s="572"/>
      <c r="AB17" s="615"/>
      <c r="AC17" s="592">
        <v>0</v>
      </c>
      <c r="AD17" s="511">
        <v>0</v>
      </c>
      <c r="AE17" s="511">
        <v>0</v>
      </c>
      <c r="AF17" s="648">
        <v>0</v>
      </c>
      <c r="AG17" s="593">
        <v>0</v>
      </c>
      <c r="AH17" s="553">
        <f>SUM(AC17:AG17)</f>
        <v>0</v>
      </c>
      <c r="AI17" s="554">
        <f>SUM(W17+AH17)</f>
        <v>7692</v>
      </c>
      <c r="AJ17" s="495"/>
      <c r="AK17" s="499">
        <f>AI17-B17</f>
        <v>7692</v>
      </c>
      <c r="AL17" s="532">
        <f t="shared" si="1"/>
        <v>0</v>
      </c>
      <c r="AM17" s="544"/>
      <c r="AN17" s="124">
        <f>AI17-W17</f>
        <v>0</v>
      </c>
      <c r="AO17" s="127">
        <f t="shared" si="2"/>
        <v>0</v>
      </c>
      <c r="AP17" s="207"/>
      <c r="AQ17" s="616"/>
      <c r="AR17" s="632"/>
      <c r="AS17" s="207"/>
      <c r="BA17" s="207">
        <f>+AZ17-AY17</f>
        <v>0</v>
      </c>
      <c r="BE17" s="95">
        <v>31324734</v>
      </c>
    </row>
    <row r="18" spans="1:57" ht="16.5" x14ac:dyDescent="0.3">
      <c r="A18" s="263" t="s">
        <v>84</v>
      </c>
      <c r="B18" s="664">
        <v>0</v>
      </c>
      <c r="C18" s="376">
        <v>0</v>
      </c>
      <c r="D18" s="665">
        <v>0</v>
      </c>
      <c r="E18" s="122">
        <v>0</v>
      </c>
      <c r="F18" s="58">
        <v>0</v>
      </c>
      <c r="G18" s="207">
        <v>0</v>
      </c>
      <c r="H18" s="58">
        <v>35249</v>
      </c>
      <c r="I18" s="217">
        <v>16723</v>
      </c>
      <c r="J18" s="74">
        <f>SUM(E18:I18)</f>
        <v>51972</v>
      </c>
      <c r="K18" s="267">
        <v>0</v>
      </c>
      <c r="L18" s="319">
        <v>0</v>
      </c>
      <c r="M18" s="217">
        <v>0</v>
      </c>
      <c r="N18" s="237">
        <f>SUM(K18:M18)</f>
        <v>0</v>
      </c>
      <c r="O18" s="433">
        <f>+J18+N18</f>
        <v>51972</v>
      </c>
      <c r="P18" s="286">
        <v>0</v>
      </c>
      <c r="Q18" s="58">
        <v>0</v>
      </c>
      <c r="R18" s="293">
        <v>0</v>
      </c>
      <c r="S18" s="58">
        <v>0</v>
      </c>
      <c r="T18" s="293">
        <v>0</v>
      </c>
      <c r="U18" s="58">
        <v>0</v>
      </c>
      <c r="V18" s="425">
        <f>SUM(P18:U18)</f>
        <v>0</v>
      </c>
      <c r="W18" s="416">
        <f>+B18+O18+V18</f>
        <v>51972</v>
      </c>
      <c r="X18" s="525"/>
      <c r="Y18" s="390">
        <f>W18-B18</f>
        <v>51972</v>
      </c>
      <c r="Z18" s="516">
        <f t="shared" si="0"/>
        <v>0</v>
      </c>
      <c r="AA18" s="572"/>
      <c r="AB18" s="615"/>
      <c r="AC18" s="592">
        <v>0</v>
      </c>
      <c r="AD18" s="511">
        <v>0</v>
      </c>
      <c r="AE18" s="511">
        <v>0</v>
      </c>
      <c r="AF18" s="648">
        <v>0</v>
      </c>
      <c r="AG18" s="593">
        <v>0</v>
      </c>
      <c r="AH18" s="553">
        <f>SUM(AC18:AG18)</f>
        <v>0</v>
      </c>
      <c r="AI18" s="554">
        <f>SUM(W18+AH18)</f>
        <v>51972</v>
      </c>
      <c r="AJ18" s="495"/>
      <c r="AK18" s="499">
        <f>AI18-B18</f>
        <v>51972</v>
      </c>
      <c r="AL18" s="532">
        <f t="shared" si="1"/>
        <v>0</v>
      </c>
      <c r="AM18" s="544"/>
      <c r="AN18" s="124">
        <f>AI18-W18</f>
        <v>0</v>
      </c>
      <c r="AO18" s="127">
        <f t="shared" si="2"/>
        <v>0</v>
      </c>
      <c r="AP18" s="207"/>
      <c r="AQ18" s="616"/>
      <c r="AR18" s="632"/>
      <c r="AS18" s="207"/>
      <c r="BA18" s="207"/>
      <c r="BE18" s="95">
        <v>85416008</v>
      </c>
    </row>
    <row r="19" spans="1:57" ht="16.5" x14ac:dyDescent="0.3">
      <c r="A19" s="264" t="s">
        <v>21</v>
      </c>
      <c r="B19" s="653">
        <f>SUM(B14:B18)</f>
        <v>0</v>
      </c>
      <c r="C19" s="663">
        <f t="shared" ref="C19:I19" si="3">SUM(C14:C18)</f>
        <v>0</v>
      </c>
      <c r="D19" s="468">
        <f t="shared" si="3"/>
        <v>0</v>
      </c>
      <c r="E19" s="332">
        <f t="shared" si="3"/>
        <v>6148</v>
      </c>
      <c r="F19" s="333">
        <f t="shared" si="3"/>
        <v>10029</v>
      </c>
      <c r="G19" s="334">
        <f t="shared" si="3"/>
        <v>2430</v>
      </c>
      <c r="H19" s="335">
        <f t="shared" si="3"/>
        <v>62238</v>
      </c>
      <c r="I19" s="336">
        <f t="shared" si="3"/>
        <v>58375</v>
      </c>
      <c r="J19" s="75">
        <f t="shared" ref="J19:W19" si="4">SUM(J14:J18)</f>
        <v>139220</v>
      </c>
      <c r="K19" s="123">
        <f t="shared" si="4"/>
        <v>75000</v>
      </c>
      <c r="L19" s="294">
        <f>SUM(L14:L18)</f>
        <v>0</v>
      </c>
      <c r="M19" s="315">
        <f t="shared" si="4"/>
        <v>0</v>
      </c>
      <c r="N19" s="96">
        <f t="shared" si="4"/>
        <v>75000</v>
      </c>
      <c r="O19" s="434">
        <f t="shared" si="4"/>
        <v>214220</v>
      </c>
      <c r="P19" s="287">
        <f t="shared" si="4"/>
        <v>0</v>
      </c>
      <c r="Q19" s="272">
        <f t="shared" si="4"/>
        <v>0</v>
      </c>
      <c r="R19" s="294">
        <f t="shared" si="4"/>
        <v>0</v>
      </c>
      <c r="S19" s="272">
        <f t="shared" si="4"/>
        <v>0</v>
      </c>
      <c r="T19" s="294">
        <f t="shared" si="4"/>
        <v>0</v>
      </c>
      <c r="U19" s="272">
        <f t="shared" si="4"/>
        <v>0</v>
      </c>
      <c r="V19" s="422">
        <f t="shared" si="4"/>
        <v>0</v>
      </c>
      <c r="W19" s="417">
        <f t="shared" si="4"/>
        <v>214220</v>
      </c>
      <c r="X19" s="525"/>
      <c r="Y19" s="391">
        <f>SUM(Y14:Y18)</f>
        <v>214220</v>
      </c>
      <c r="Z19" s="517">
        <f t="shared" si="0"/>
        <v>0</v>
      </c>
      <c r="AA19" s="572"/>
      <c r="AB19" s="615"/>
      <c r="AC19" s="594">
        <f t="shared" ref="AC19:AH19" si="5">SUM(AC13:AC18)</f>
        <v>0</v>
      </c>
      <c r="AD19" s="537">
        <f t="shared" si="5"/>
        <v>0</v>
      </c>
      <c r="AE19" s="537">
        <f t="shared" si="5"/>
        <v>0</v>
      </c>
      <c r="AF19" s="537">
        <f t="shared" si="5"/>
        <v>0</v>
      </c>
      <c r="AG19" s="595">
        <f t="shared" si="5"/>
        <v>0</v>
      </c>
      <c r="AH19" s="555">
        <f t="shared" si="5"/>
        <v>0</v>
      </c>
      <c r="AI19" s="556">
        <f>SUM(AI14:AI18)</f>
        <v>214220</v>
      </c>
      <c r="AJ19" s="495"/>
      <c r="AK19" s="500">
        <f>SUM(AK14:AK18)</f>
        <v>214220</v>
      </c>
      <c r="AL19" s="533">
        <f t="shared" si="1"/>
        <v>0</v>
      </c>
      <c r="AM19" s="544"/>
      <c r="AN19" s="546">
        <f>SUM(AN14:AN18)</f>
        <v>0</v>
      </c>
      <c r="AO19" s="578">
        <f t="shared" si="2"/>
        <v>0</v>
      </c>
      <c r="AP19" s="207"/>
      <c r="AQ19" s="616"/>
      <c r="AR19" s="632"/>
      <c r="AS19" s="207"/>
      <c r="BA19" s="123">
        <f>SUM(BA14:BA18)</f>
        <v>0</v>
      </c>
      <c r="BE19" s="96">
        <f>SUM(BE14:BE18)</f>
        <v>472000327</v>
      </c>
    </row>
    <row r="20" spans="1:57" ht="16.5" x14ac:dyDescent="0.3">
      <c r="A20" s="263" t="s">
        <v>6</v>
      </c>
      <c r="B20" s="664">
        <v>0</v>
      </c>
      <c r="C20" s="376">
        <v>0</v>
      </c>
      <c r="D20" s="665">
        <v>0</v>
      </c>
      <c r="E20" s="207">
        <v>282</v>
      </c>
      <c r="F20" s="58">
        <v>323</v>
      </c>
      <c r="G20" s="207">
        <v>22</v>
      </c>
      <c r="H20" s="58">
        <v>1733</v>
      </c>
      <c r="I20" s="217">
        <v>1374</v>
      </c>
      <c r="J20" s="74">
        <f>SUM(E20:I20)</f>
        <v>3734</v>
      </c>
      <c r="K20" s="268">
        <v>0</v>
      </c>
      <c r="L20" s="320">
        <v>0</v>
      </c>
      <c r="M20" s="217">
        <v>0</v>
      </c>
      <c r="N20" s="237">
        <f>SUM(K20:M20)</f>
        <v>0</v>
      </c>
      <c r="O20" s="433">
        <f>+J20+N20</f>
        <v>3734</v>
      </c>
      <c r="P20" s="286">
        <v>0</v>
      </c>
      <c r="Q20" s="58">
        <v>0</v>
      </c>
      <c r="R20" s="293">
        <v>0</v>
      </c>
      <c r="S20" s="58">
        <v>0</v>
      </c>
      <c r="T20" s="293">
        <v>0</v>
      </c>
      <c r="U20" s="58">
        <v>0</v>
      </c>
      <c r="V20" s="425">
        <f>SUM(P20:U20)</f>
        <v>0</v>
      </c>
      <c r="W20" s="416">
        <f>+B20+O20+V20</f>
        <v>3734</v>
      </c>
      <c r="X20" s="525"/>
      <c r="Y20" s="390">
        <f>W20-B20</f>
        <v>3734</v>
      </c>
      <c r="Z20" s="516">
        <f t="shared" si="0"/>
        <v>0</v>
      </c>
      <c r="AA20" s="572"/>
      <c r="AB20" s="615"/>
      <c r="AC20" s="592">
        <v>0</v>
      </c>
      <c r="AD20" s="511">
        <v>0</v>
      </c>
      <c r="AE20" s="511">
        <v>0</v>
      </c>
      <c r="AF20" s="648">
        <v>0</v>
      </c>
      <c r="AG20" s="593">
        <v>0</v>
      </c>
      <c r="AH20" s="553">
        <f>SUM(AC20:AG20)</f>
        <v>0</v>
      </c>
      <c r="AI20" s="554">
        <f>SUM(W20+AH20)</f>
        <v>3734</v>
      </c>
      <c r="AJ20" s="495"/>
      <c r="AK20" s="501">
        <f>SUM(AI20-B20)</f>
        <v>3734</v>
      </c>
      <c r="AL20" s="532">
        <f t="shared" si="1"/>
        <v>0</v>
      </c>
      <c r="AM20" s="544"/>
      <c r="AN20" s="124">
        <f>AI20-W20</f>
        <v>0</v>
      </c>
      <c r="AO20" s="127">
        <f t="shared" si="2"/>
        <v>0</v>
      </c>
      <c r="AP20" s="207"/>
      <c r="AQ20" s="616"/>
      <c r="AR20" s="632"/>
      <c r="AS20" s="207"/>
      <c r="BA20" s="207">
        <f>+AZ20-AY20</f>
        <v>0</v>
      </c>
      <c r="BE20" s="95">
        <v>9878519</v>
      </c>
    </row>
    <row r="21" spans="1:57" ht="16.5" x14ac:dyDescent="0.3">
      <c r="A21" s="263" t="s">
        <v>7</v>
      </c>
      <c r="B21" s="664">
        <v>0</v>
      </c>
      <c r="C21" s="376">
        <v>0</v>
      </c>
      <c r="D21" s="665">
        <v>0</v>
      </c>
      <c r="E21" s="207">
        <v>33</v>
      </c>
      <c r="F21" s="58">
        <v>100</v>
      </c>
      <c r="G21" s="207">
        <v>2</v>
      </c>
      <c r="H21" s="58">
        <v>545</v>
      </c>
      <c r="I21" s="217">
        <v>329</v>
      </c>
      <c r="J21" s="74">
        <f>SUM(E21:I21)</f>
        <v>1009</v>
      </c>
      <c r="K21" s="268">
        <v>0</v>
      </c>
      <c r="L21" s="320">
        <v>0</v>
      </c>
      <c r="M21" s="217">
        <v>0</v>
      </c>
      <c r="N21" s="237">
        <f>SUM(K21:M21)</f>
        <v>0</v>
      </c>
      <c r="O21" s="433">
        <f>+J21+N21</f>
        <v>1009</v>
      </c>
      <c r="P21" s="286">
        <v>0</v>
      </c>
      <c r="Q21" s="58">
        <v>0</v>
      </c>
      <c r="R21" s="293">
        <v>0</v>
      </c>
      <c r="S21" s="58">
        <v>0</v>
      </c>
      <c r="T21" s="293">
        <v>0</v>
      </c>
      <c r="U21" s="58">
        <v>0</v>
      </c>
      <c r="V21" s="425">
        <f>SUM(P21:U21)</f>
        <v>0</v>
      </c>
      <c r="W21" s="416">
        <f>+B21+O21+V21</f>
        <v>1009</v>
      </c>
      <c r="X21" s="525"/>
      <c r="Y21" s="390">
        <f>W21-B21</f>
        <v>1009</v>
      </c>
      <c r="Z21" s="516">
        <f t="shared" si="0"/>
        <v>0</v>
      </c>
      <c r="AA21" s="572"/>
      <c r="AB21" s="615"/>
      <c r="AC21" s="592">
        <v>0</v>
      </c>
      <c r="AD21" s="511">
        <v>0</v>
      </c>
      <c r="AE21" s="511">
        <v>0</v>
      </c>
      <c r="AF21" s="648">
        <v>0</v>
      </c>
      <c r="AG21" s="593">
        <v>0</v>
      </c>
      <c r="AH21" s="553">
        <f>SUM(AC21:AG21)</f>
        <v>0</v>
      </c>
      <c r="AI21" s="554">
        <f>SUM(W21+AH21)</f>
        <v>1009</v>
      </c>
      <c r="AJ21" s="495"/>
      <c r="AK21" s="501">
        <f>SUM(AI21-B21)</f>
        <v>1009</v>
      </c>
      <c r="AL21" s="532">
        <f t="shared" si="1"/>
        <v>0</v>
      </c>
      <c r="AM21" s="544"/>
      <c r="AN21" s="124">
        <f>AI21-W21</f>
        <v>0</v>
      </c>
      <c r="AO21" s="127">
        <f t="shared" si="2"/>
        <v>0</v>
      </c>
      <c r="AP21" s="207"/>
      <c r="AQ21" s="616"/>
      <c r="AR21" s="632"/>
      <c r="AS21" s="207"/>
      <c r="BA21" s="207">
        <f>+AZ21-AY21</f>
        <v>0</v>
      </c>
      <c r="BE21" s="95">
        <v>2461441</v>
      </c>
    </row>
    <row r="22" spans="1:57" ht="16.5" x14ac:dyDescent="0.3">
      <c r="A22" s="263" t="s">
        <v>8</v>
      </c>
      <c r="B22" s="664">
        <v>0</v>
      </c>
      <c r="C22" s="376">
        <v>0</v>
      </c>
      <c r="D22" s="665">
        <v>0</v>
      </c>
      <c r="E22" s="207">
        <v>6</v>
      </c>
      <c r="F22" s="58">
        <v>431</v>
      </c>
      <c r="G22" s="207">
        <v>0</v>
      </c>
      <c r="H22" s="58">
        <v>2223</v>
      </c>
      <c r="I22" s="217">
        <v>1069</v>
      </c>
      <c r="J22" s="74">
        <f>SUM(E22:I22)</f>
        <v>3729</v>
      </c>
      <c r="K22" s="267">
        <v>0</v>
      </c>
      <c r="L22" s="319">
        <v>0</v>
      </c>
      <c r="M22" s="217">
        <v>0</v>
      </c>
      <c r="N22" s="237">
        <f>SUM(K22:M22)</f>
        <v>0</v>
      </c>
      <c r="O22" s="433">
        <f>+J22+N22</f>
        <v>3729</v>
      </c>
      <c r="P22" s="286">
        <v>0</v>
      </c>
      <c r="Q22" s="58">
        <v>0</v>
      </c>
      <c r="R22" s="293">
        <v>0</v>
      </c>
      <c r="S22" s="58">
        <v>0</v>
      </c>
      <c r="T22" s="293">
        <v>0</v>
      </c>
      <c r="U22" s="58">
        <v>0</v>
      </c>
      <c r="V22" s="425">
        <f>SUM(P22:U22)</f>
        <v>0</v>
      </c>
      <c r="W22" s="416">
        <f>+B22+O22+V22</f>
        <v>3729</v>
      </c>
      <c r="X22" s="525"/>
      <c r="Y22" s="390">
        <f>W22-B22</f>
        <v>3729</v>
      </c>
      <c r="Z22" s="516">
        <f t="shared" si="0"/>
        <v>0</v>
      </c>
      <c r="AA22" s="572"/>
      <c r="AB22" s="615"/>
      <c r="AC22" s="592">
        <v>0</v>
      </c>
      <c r="AD22" s="511">
        <v>0</v>
      </c>
      <c r="AE22" s="511">
        <v>0</v>
      </c>
      <c r="AF22" s="648">
        <v>0</v>
      </c>
      <c r="AG22" s="593">
        <v>0</v>
      </c>
      <c r="AH22" s="553">
        <f>SUM(AC22:AG22)</f>
        <v>0</v>
      </c>
      <c r="AI22" s="554">
        <f>SUM(W22+AH22)</f>
        <v>3729</v>
      </c>
      <c r="AJ22" s="495"/>
      <c r="AK22" s="501">
        <f>SUM(AI22-B22)</f>
        <v>3729</v>
      </c>
      <c r="AL22" s="532">
        <f t="shared" si="1"/>
        <v>0</v>
      </c>
      <c r="AM22" s="544"/>
      <c r="AN22" s="124">
        <f>AI22-W22</f>
        <v>0</v>
      </c>
      <c r="AO22" s="127">
        <f t="shared" si="2"/>
        <v>0</v>
      </c>
      <c r="AP22" s="207"/>
      <c r="AQ22" s="616"/>
      <c r="AR22" s="632"/>
      <c r="AS22" s="207"/>
      <c r="BA22" s="207"/>
      <c r="BE22" s="95">
        <v>4243368</v>
      </c>
    </row>
    <row r="23" spans="1:57" ht="16.5" x14ac:dyDescent="0.3">
      <c r="A23" s="263" t="s">
        <v>9</v>
      </c>
      <c r="B23" s="664">
        <v>0</v>
      </c>
      <c r="C23" s="376">
        <v>0</v>
      </c>
      <c r="D23" s="665">
        <v>0</v>
      </c>
      <c r="E23" s="207">
        <v>0</v>
      </c>
      <c r="F23" s="58">
        <v>15</v>
      </c>
      <c r="G23" s="207">
        <v>0</v>
      </c>
      <c r="H23" s="58">
        <v>70</v>
      </c>
      <c r="I23" s="217">
        <v>33</v>
      </c>
      <c r="J23" s="74">
        <f>SUM(E23:I23)</f>
        <v>118</v>
      </c>
      <c r="K23" s="267">
        <v>0</v>
      </c>
      <c r="L23" s="319">
        <v>0</v>
      </c>
      <c r="M23" s="217">
        <v>0</v>
      </c>
      <c r="N23" s="237">
        <f>SUM(K23:M23)</f>
        <v>0</v>
      </c>
      <c r="O23" s="433">
        <f>+J23+N23</f>
        <v>118</v>
      </c>
      <c r="P23" s="286">
        <v>0</v>
      </c>
      <c r="Q23" s="58">
        <v>0</v>
      </c>
      <c r="R23" s="293">
        <v>0</v>
      </c>
      <c r="S23" s="58">
        <v>0</v>
      </c>
      <c r="T23" s="293">
        <v>0</v>
      </c>
      <c r="U23" s="58">
        <v>0</v>
      </c>
      <c r="V23" s="425">
        <f>SUM(P23:U23)</f>
        <v>0</v>
      </c>
      <c r="W23" s="416">
        <f>+B23+O23+V23</f>
        <v>118</v>
      </c>
      <c r="X23" s="525"/>
      <c r="Y23" s="390">
        <f>W23-B23</f>
        <v>118</v>
      </c>
      <c r="Z23" s="516">
        <f t="shared" si="0"/>
        <v>0</v>
      </c>
      <c r="AA23" s="572"/>
      <c r="AB23" s="615"/>
      <c r="AC23" s="592">
        <v>0</v>
      </c>
      <c r="AD23" s="511">
        <v>0</v>
      </c>
      <c r="AE23" s="511">
        <v>0</v>
      </c>
      <c r="AF23" s="648">
        <v>0</v>
      </c>
      <c r="AG23" s="593">
        <v>0</v>
      </c>
      <c r="AH23" s="553">
        <f>SUM(AC23:AG23)</f>
        <v>0</v>
      </c>
      <c r="AI23" s="554">
        <f>SUM(W23+AH23)</f>
        <v>118</v>
      </c>
      <c r="AJ23" s="495"/>
      <c r="AK23" s="501">
        <f>SUM(AI23-B23)</f>
        <v>118</v>
      </c>
      <c r="AL23" s="532">
        <f t="shared" si="1"/>
        <v>0</v>
      </c>
      <c r="AM23" s="544"/>
      <c r="AN23" s="124">
        <f>AI23-W23</f>
        <v>0</v>
      </c>
      <c r="AO23" s="127">
        <f t="shared" si="2"/>
        <v>0</v>
      </c>
      <c r="AP23" s="207"/>
      <c r="AQ23" s="616"/>
      <c r="AR23" s="632"/>
      <c r="AS23" s="207"/>
      <c r="BA23" s="207"/>
      <c r="BE23" s="95">
        <v>1826000</v>
      </c>
    </row>
    <row r="24" spans="1:57" ht="16.5" x14ac:dyDescent="0.3">
      <c r="A24" s="264" t="s">
        <v>24</v>
      </c>
      <c r="B24" s="653">
        <f>SUM(B20:B23)</f>
        <v>0</v>
      </c>
      <c r="C24" s="663">
        <f t="shared" ref="C24:I24" si="6">SUM(C20:C23)</f>
        <v>0</v>
      </c>
      <c r="D24" s="468">
        <f t="shared" si="6"/>
        <v>0</v>
      </c>
      <c r="E24" s="332">
        <f t="shared" si="6"/>
        <v>321</v>
      </c>
      <c r="F24" s="333">
        <f t="shared" si="6"/>
        <v>869</v>
      </c>
      <c r="G24" s="334">
        <f t="shared" si="6"/>
        <v>24</v>
      </c>
      <c r="H24" s="335">
        <f t="shared" si="6"/>
        <v>4571</v>
      </c>
      <c r="I24" s="336">
        <f t="shared" si="6"/>
        <v>2805</v>
      </c>
      <c r="J24" s="75">
        <f t="shared" ref="J24:W24" si="7">SUM(J20:J23)</f>
        <v>8590</v>
      </c>
      <c r="K24" s="123">
        <f t="shared" si="7"/>
        <v>0</v>
      </c>
      <c r="L24" s="294">
        <f>SUM(L20:L23)</f>
        <v>0</v>
      </c>
      <c r="M24" s="315">
        <f t="shared" si="7"/>
        <v>0</v>
      </c>
      <c r="N24" s="96">
        <f t="shared" si="7"/>
        <v>0</v>
      </c>
      <c r="O24" s="434">
        <f t="shared" si="7"/>
        <v>8590</v>
      </c>
      <c r="P24" s="287">
        <f t="shared" si="7"/>
        <v>0</v>
      </c>
      <c r="Q24" s="272">
        <f t="shared" si="7"/>
        <v>0</v>
      </c>
      <c r="R24" s="294">
        <f t="shared" si="7"/>
        <v>0</v>
      </c>
      <c r="S24" s="272">
        <f t="shared" si="7"/>
        <v>0</v>
      </c>
      <c r="T24" s="294">
        <f t="shared" si="7"/>
        <v>0</v>
      </c>
      <c r="U24" s="272">
        <f t="shared" si="7"/>
        <v>0</v>
      </c>
      <c r="V24" s="422">
        <f t="shared" si="7"/>
        <v>0</v>
      </c>
      <c r="W24" s="417">
        <f t="shared" si="7"/>
        <v>8590</v>
      </c>
      <c r="X24" s="525"/>
      <c r="Y24" s="391">
        <f>SUM(Y20:Y23)</f>
        <v>8590</v>
      </c>
      <c r="Z24" s="527">
        <f t="shared" si="0"/>
        <v>0</v>
      </c>
      <c r="AA24" s="572"/>
      <c r="AB24" s="615"/>
      <c r="AC24" s="594">
        <f t="shared" ref="AC24:AH24" si="8">SUM(AC20:AC23)</f>
        <v>0</v>
      </c>
      <c r="AD24" s="537">
        <f t="shared" si="8"/>
        <v>0</v>
      </c>
      <c r="AE24" s="537">
        <f t="shared" si="8"/>
        <v>0</v>
      </c>
      <c r="AF24" s="537">
        <f t="shared" si="8"/>
        <v>0</v>
      </c>
      <c r="AG24" s="595">
        <f t="shared" si="8"/>
        <v>0</v>
      </c>
      <c r="AH24" s="555">
        <f t="shared" si="8"/>
        <v>0</v>
      </c>
      <c r="AI24" s="556">
        <f>SUM(AI20:AI23)</f>
        <v>8590</v>
      </c>
      <c r="AJ24" s="495"/>
      <c r="AK24" s="500">
        <f>SUM(AK20:AK23)</f>
        <v>8590</v>
      </c>
      <c r="AL24" s="533">
        <f>IF(B21=0,0,AK24/B24)</f>
        <v>0</v>
      </c>
      <c r="AM24" s="544"/>
      <c r="AN24" s="546">
        <f>SUM(AN20:AN23)</f>
        <v>0</v>
      </c>
      <c r="AO24" s="579">
        <f t="shared" si="2"/>
        <v>0</v>
      </c>
      <c r="AP24" s="207"/>
      <c r="AQ24" s="616"/>
      <c r="AR24" s="632"/>
      <c r="AS24" s="207"/>
      <c r="BA24" s="123">
        <f>SUM(BA20:BA23)</f>
        <v>0</v>
      </c>
      <c r="BE24" s="96">
        <f>SUM(BE20:BE23)</f>
        <v>18409328</v>
      </c>
    </row>
    <row r="25" spans="1:57" ht="16.5" x14ac:dyDescent="0.3">
      <c r="A25" s="263" t="s">
        <v>10</v>
      </c>
      <c r="B25" s="664">
        <v>0</v>
      </c>
      <c r="C25" s="376">
        <v>0</v>
      </c>
      <c r="D25" s="665">
        <v>0</v>
      </c>
      <c r="E25" s="207">
        <v>16</v>
      </c>
      <c r="F25" s="58">
        <v>196</v>
      </c>
      <c r="G25" s="207">
        <v>73</v>
      </c>
      <c r="H25" s="58">
        <v>1372</v>
      </c>
      <c r="I25" s="217">
        <v>745</v>
      </c>
      <c r="J25" s="74">
        <f>SUM(E25:I25)</f>
        <v>2402</v>
      </c>
      <c r="K25" s="207">
        <v>0</v>
      </c>
      <c r="L25" s="293">
        <v>0</v>
      </c>
      <c r="M25" s="217">
        <v>0</v>
      </c>
      <c r="N25" s="237">
        <f>SUM(K25:M25)</f>
        <v>0</v>
      </c>
      <c r="O25" s="433">
        <f>+J25+N25</f>
        <v>2402</v>
      </c>
      <c r="P25" s="286">
        <v>0</v>
      </c>
      <c r="Q25" s="58">
        <v>0</v>
      </c>
      <c r="R25" s="293">
        <v>0</v>
      </c>
      <c r="S25" s="58">
        <v>0</v>
      </c>
      <c r="T25" s="293">
        <v>0</v>
      </c>
      <c r="U25" s="58">
        <v>0</v>
      </c>
      <c r="V25" s="425">
        <f>SUM(P25:U25)</f>
        <v>0</v>
      </c>
      <c r="W25" s="416">
        <f>+B25+O25+V25</f>
        <v>2402</v>
      </c>
      <c r="X25" s="525"/>
      <c r="Y25" s="390">
        <f>W25-B25</f>
        <v>2402</v>
      </c>
      <c r="Z25" s="516">
        <f t="shared" si="0"/>
        <v>0</v>
      </c>
      <c r="AA25" s="572"/>
      <c r="AB25" s="615"/>
      <c r="AC25" s="592">
        <v>0</v>
      </c>
      <c r="AD25" s="511">
        <v>0</v>
      </c>
      <c r="AE25" s="511">
        <v>0</v>
      </c>
      <c r="AF25" s="648">
        <v>0</v>
      </c>
      <c r="AG25" s="593">
        <v>0</v>
      </c>
      <c r="AH25" s="553">
        <f>SUM(AC25:AG25)</f>
        <v>0</v>
      </c>
      <c r="AI25" s="554">
        <f>SUM(W25+AH25)</f>
        <v>2402</v>
      </c>
      <c r="AJ25" s="495"/>
      <c r="AK25" s="501">
        <f>SUM(AI25-B25)</f>
        <v>2402</v>
      </c>
      <c r="AL25" s="532">
        <f>IF(B25=0,0,AK25/B25)</f>
        <v>0</v>
      </c>
      <c r="AM25" s="544"/>
      <c r="AN25" s="124">
        <f>AI25-W25</f>
        <v>0</v>
      </c>
      <c r="AO25" s="127">
        <f t="shared" si="2"/>
        <v>0</v>
      </c>
      <c r="AP25" s="207"/>
      <c r="AQ25" s="616"/>
      <c r="AR25" s="632"/>
      <c r="AS25" s="207"/>
      <c r="BA25" s="207"/>
      <c r="BE25" s="95">
        <v>0</v>
      </c>
    </row>
    <row r="26" spans="1:57" ht="16.5" x14ac:dyDescent="0.3">
      <c r="A26" s="263" t="s">
        <v>11</v>
      </c>
      <c r="B26" s="664">
        <v>0</v>
      </c>
      <c r="C26" s="376">
        <v>0</v>
      </c>
      <c r="D26" s="665">
        <v>0</v>
      </c>
      <c r="E26" s="207">
        <v>15</v>
      </c>
      <c r="F26" s="58">
        <v>0</v>
      </c>
      <c r="G26" s="207">
        <v>778</v>
      </c>
      <c r="H26" s="58">
        <v>0</v>
      </c>
      <c r="I26" s="217">
        <v>0</v>
      </c>
      <c r="J26" s="74">
        <f>SUM(E26:I26)</f>
        <v>793</v>
      </c>
      <c r="K26" s="207">
        <v>0</v>
      </c>
      <c r="L26" s="293">
        <v>0</v>
      </c>
      <c r="M26" s="217">
        <v>0</v>
      </c>
      <c r="N26" s="237">
        <f>SUM(K26:M26)</f>
        <v>0</v>
      </c>
      <c r="O26" s="433">
        <f>+J26+N26</f>
        <v>793</v>
      </c>
      <c r="P26" s="286">
        <v>0</v>
      </c>
      <c r="Q26" s="58">
        <v>0</v>
      </c>
      <c r="R26" s="293">
        <v>0</v>
      </c>
      <c r="S26" s="58">
        <v>0</v>
      </c>
      <c r="T26" s="293">
        <v>0</v>
      </c>
      <c r="U26" s="58">
        <v>0</v>
      </c>
      <c r="V26" s="425">
        <f>SUM(P26:U26)</f>
        <v>0</v>
      </c>
      <c r="W26" s="416">
        <f>+B26+O26+V26</f>
        <v>793</v>
      </c>
      <c r="X26" s="525"/>
      <c r="Y26" s="390">
        <f>W26-B26</f>
        <v>793</v>
      </c>
      <c r="Z26" s="516">
        <f t="shared" si="0"/>
        <v>0</v>
      </c>
      <c r="AA26" s="572"/>
      <c r="AB26" s="615"/>
      <c r="AC26" s="592">
        <v>0</v>
      </c>
      <c r="AD26" s="511">
        <v>0</v>
      </c>
      <c r="AE26" s="511">
        <v>0</v>
      </c>
      <c r="AF26" s="648">
        <v>0</v>
      </c>
      <c r="AG26" s="593">
        <v>0</v>
      </c>
      <c r="AH26" s="553">
        <f>SUM(AC26:AG26)</f>
        <v>0</v>
      </c>
      <c r="AI26" s="554">
        <f>SUM(W26+AH26)</f>
        <v>793</v>
      </c>
      <c r="AJ26" s="495"/>
      <c r="AK26" s="501">
        <f>SUM(AI26-B26)</f>
        <v>793</v>
      </c>
      <c r="AL26" s="532">
        <f>IF(B26=0,0,AK26/B26)</f>
        <v>0</v>
      </c>
      <c r="AM26" s="544"/>
      <c r="AN26" s="124">
        <f>AI26-W26</f>
        <v>0</v>
      </c>
      <c r="AO26" s="127">
        <f t="shared" si="2"/>
        <v>0</v>
      </c>
      <c r="AP26" s="207"/>
      <c r="AQ26" s="616"/>
      <c r="AR26" s="632"/>
      <c r="AS26" s="207"/>
      <c r="BA26" s="207">
        <f>+AZ26-AY26</f>
        <v>0</v>
      </c>
      <c r="BE26" s="95">
        <v>0</v>
      </c>
    </row>
    <row r="27" spans="1:57" ht="16.5" x14ac:dyDescent="0.3">
      <c r="A27" s="263" t="s">
        <v>12</v>
      </c>
      <c r="B27" s="664">
        <v>0</v>
      </c>
      <c r="C27" s="376">
        <v>0</v>
      </c>
      <c r="D27" s="665">
        <v>0</v>
      </c>
      <c r="E27" s="207">
        <v>0</v>
      </c>
      <c r="F27" s="58">
        <v>0</v>
      </c>
      <c r="G27" s="207">
        <v>46</v>
      </c>
      <c r="H27" s="58">
        <v>0</v>
      </c>
      <c r="I27" s="217">
        <v>0</v>
      </c>
      <c r="J27" s="74">
        <f>SUM(E27:I27)</f>
        <v>46</v>
      </c>
      <c r="K27" s="207">
        <v>0</v>
      </c>
      <c r="L27" s="293">
        <v>0</v>
      </c>
      <c r="M27" s="217">
        <v>0</v>
      </c>
      <c r="N27" s="237">
        <f>SUM(K27:M27)</f>
        <v>0</v>
      </c>
      <c r="O27" s="433">
        <f>+J27+N27</f>
        <v>46</v>
      </c>
      <c r="P27" s="286">
        <v>0</v>
      </c>
      <c r="Q27" s="58">
        <v>0</v>
      </c>
      <c r="R27" s="293">
        <v>0</v>
      </c>
      <c r="S27" s="58">
        <v>0</v>
      </c>
      <c r="T27" s="293">
        <v>0</v>
      </c>
      <c r="U27" s="58">
        <v>0</v>
      </c>
      <c r="V27" s="425">
        <f>SUM(P27:U27)</f>
        <v>0</v>
      </c>
      <c r="W27" s="416">
        <f>+B27+O27+V27</f>
        <v>46</v>
      </c>
      <c r="X27" s="525"/>
      <c r="Y27" s="390">
        <f>W27-B27</f>
        <v>46</v>
      </c>
      <c r="Z27" s="516">
        <f t="shared" si="0"/>
        <v>0</v>
      </c>
      <c r="AA27" s="572"/>
      <c r="AB27" s="615"/>
      <c r="AC27" s="592">
        <v>0</v>
      </c>
      <c r="AD27" s="511">
        <v>0</v>
      </c>
      <c r="AE27" s="511">
        <v>0</v>
      </c>
      <c r="AF27" s="648">
        <v>0</v>
      </c>
      <c r="AG27" s="593">
        <v>0</v>
      </c>
      <c r="AH27" s="553">
        <f>SUM(AC27:AG27)</f>
        <v>0</v>
      </c>
      <c r="AI27" s="554">
        <f>SUM(W27+AH27)</f>
        <v>46</v>
      </c>
      <c r="AJ27" s="495"/>
      <c r="AK27" s="501">
        <f>SUM(AI27-B27)</f>
        <v>46</v>
      </c>
      <c r="AL27" s="532">
        <f>IF(B27=0,0,AK27/B27)</f>
        <v>0</v>
      </c>
      <c r="AM27" s="544"/>
      <c r="AN27" s="124">
        <f>AI27-W27</f>
        <v>0</v>
      </c>
      <c r="AO27" s="127">
        <f t="shared" si="2"/>
        <v>0</v>
      </c>
      <c r="AP27" s="207"/>
      <c r="AQ27" s="616"/>
      <c r="AR27" s="632"/>
      <c r="AS27" s="207"/>
      <c r="BA27" s="207">
        <f>+AZ27-AY27</f>
        <v>0</v>
      </c>
      <c r="BE27" s="95">
        <v>0</v>
      </c>
    </row>
    <row r="28" spans="1:57" ht="16.5" x14ac:dyDescent="0.3">
      <c r="A28" s="263" t="s">
        <v>13</v>
      </c>
      <c r="B28" s="664">
        <v>0</v>
      </c>
      <c r="C28" s="376">
        <v>0</v>
      </c>
      <c r="D28" s="665">
        <v>0</v>
      </c>
      <c r="E28" s="207">
        <v>423</v>
      </c>
      <c r="F28" s="58">
        <v>121</v>
      </c>
      <c r="G28" s="207">
        <v>527</v>
      </c>
      <c r="H28" s="58">
        <v>0</v>
      </c>
      <c r="I28" s="217">
        <v>0</v>
      </c>
      <c r="J28" s="74">
        <f>SUM(E28:I28)</f>
        <v>1071</v>
      </c>
      <c r="K28" s="207">
        <v>0</v>
      </c>
      <c r="L28" s="293">
        <v>0</v>
      </c>
      <c r="M28" s="217">
        <v>0</v>
      </c>
      <c r="N28" s="237">
        <f>SUM(K28:M28)</f>
        <v>0</v>
      </c>
      <c r="O28" s="433">
        <f>+J28+N28</f>
        <v>1071</v>
      </c>
      <c r="P28" s="286">
        <v>0</v>
      </c>
      <c r="Q28" s="58">
        <v>0</v>
      </c>
      <c r="R28" s="293">
        <v>0</v>
      </c>
      <c r="S28" s="58">
        <v>0</v>
      </c>
      <c r="T28" s="293">
        <v>0</v>
      </c>
      <c r="U28" s="58">
        <v>0</v>
      </c>
      <c r="V28" s="425">
        <f>SUM(P28:U28)</f>
        <v>0</v>
      </c>
      <c r="W28" s="416">
        <f>+B28+O28+V28</f>
        <v>1071</v>
      </c>
      <c r="X28" s="525"/>
      <c r="Y28" s="390">
        <f>W28-B28</f>
        <v>1071</v>
      </c>
      <c r="Z28" s="516">
        <f t="shared" si="0"/>
        <v>0</v>
      </c>
      <c r="AA28" s="572"/>
      <c r="AB28" s="615"/>
      <c r="AC28" s="592">
        <v>0</v>
      </c>
      <c r="AD28" s="511">
        <v>0</v>
      </c>
      <c r="AE28" s="511">
        <v>0</v>
      </c>
      <c r="AF28" s="648">
        <v>0</v>
      </c>
      <c r="AG28" s="593">
        <v>0</v>
      </c>
      <c r="AH28" s="553">
        <f>SUM(AC28:AG28)</f>
        <v>0</v>
      </c>
      <c r="AI28" s="554">
        <f>SUM(W28+AH28)</f>
        <v>1071</v>
      </c>
      <c r="AJ28" s="495"/>
      <c r="AK28" s="501">
        <f>SUM(AI28-B28)</f>
        <v>1071</v>
      </c>
      <c r="AL28" s="532">
        <f>IF(B28=0,0,AK28/B28)</f>
        <v>0</v>
      </c>
      <c r="AM28" s="544"/>
      <c r="AN28" s="124">
        <f>AI28-W28</f>
        <v>0</v>
      </c>
      <c r="AO28" s="127">
        <f t="shared" si="2"/>
        <v>0</v>
      </c>
      <c r="AP28" s="207"/>
      <c r="AQ28" s="616"/>
      <c r="AR28" s="632"/>
      <c r="AS28" s="207"/>
      <c r="BA28" s="207"/>
      <c r="BE28" s="95">
        <v>4672306</v>
      </c>
    </row>
    <row r="29" spans="1:57" ht="16.5" x14ac:dyDescent="0.3">
      <c r="A29" s="263" t="s">
        <v>30</v>
      </c>
      <c r="B29" s="664">
        <v>0</v>
      </c>
      <c r="C29" s="376">
        <v>0</v>
      </c>
      <c r="D29" s="665">
        <v>0</v>
      </c>
      <c r="E29" s="207">
        <v>15</v>
      </c>
      <c r="F29" s="58">
        <v>0</v>
      </c>
      <c r="G29" s="207">
        <v>71</v>
      </c>
      <c r="H29" s="58">
        <v>0</v>
      </c>
      <c r="I29" s="217">
        <v>0</v>
      </c>
      <c r="J29" s="74">
        <f>SUM(E29:I29)</f>
        <v>86</v>
      </c>
      <c r="K29" s="207">
        <v>0</v>
      </c>
      <c r="L29" s="293">
        <v>0</v>
      </c>
      <c r="M29" s="217">
        <v>0</v>
      </c>
      <c r="N29" s="237">
        <f>SUM(K29:M29)</f>
        <v>0</v>
      </c>
      <c r="O29" s="433">
        <f>+J29+N29</f>
        <v>86</v>
      </c>
      <c r="P29" s="286">
        <v>0</v>
      </c>
      <c r="Q29" s="58">
        <v>0</v>
      </c>
      <c r="R29" s="293">
        <v>0</v>
      </c>
      <c r="S29" s="58">
        <v>0</v>
      </c>
      <c r="T29" s="293">
        <v>0</v>
      </c>
      <c r="U29" s="58">
        <v>0</v>
      </c>
      <c r="V29" s="425">
        <f>SUM(P29:U29)</f>
        <v>0</v>
      </c>
      <c r="W29" s="416">
        <f>+B29+O29+V29</f>
        <v>86</v>
      </c>
      <c r="X29" s="525"/>
      <c r="Y29" s="390">
        <f>W29-B29</f>
        <v>86</v>
      </c>
      <c r="Z29" s="516">
        <f t="shared" si="0"/>
        <v>0</v>
      </c>
      <c r="AA29" s="572"/>
      <c r="AB29" s="615"/>
      <c r="AC29" s="592">
        <v>0</v>
      </c>
      <c r="AD29" s="511">
        <v>0</v>
      </c>
      <c r="AE29" s="511">
        <v>0</v>
      </c>
      <c r="AF29" s="648">
        <v>0</v>
      </c>
      <c r="AG29" s="593">
        <v>0</v>
      </c>
      <c r="AH29" s="553">
        <f>SUM(AC29:AG29)</f>
        <v>0</v>
      </c>
      <c r="AI29" s="554">
        <f>SUM(W29+AH29)</f>
        <v>86</v>
      </c>
      <c r="AJ29" s="495"/>
      <c r="AK29" s="501">
        <f>SUM(AI29-B29)</f>
        <v>86</v>
      </c>
      <c r="AL29" s="532">
        <f>IF(B29=0,0,AK29/B29)</f>
        <v>0</v>
      </c>
      <c r="AM29" s="544"/>
      <c r="AN29" s="124">
        <f>AI29-W29</f>
        <v>0</v>
      </c>
      <c r="AO29" s="127">
        <f t="shared" si="2"/>
        <v>0</v>
      </c>
      <c r="AP29" s="207"/>
      <c r="AQ29" s="616"/>
      <c r="AR29" s="632"/>
      <c r="AS29" s="207"/>
      <c r="BA29" s="207">
        <f>+AZ29-AY29</f>
        <v>0</v>
      </c>
      <c r="BE29" s="95">
        <v>0</v>
      </c>
    </row>
    <row r="30" spans="1:57" ht="16.5" x14ac:dyDescent="0.3">
      <c r="A30" s="18" t="s">
        <v>22</v>
      </c>
      <c r="B30" s="654">
        <f>SUM(B25:B29)</f>
        <v>0</v>
      </c>
      <c r="C30" s="375">
        <f t="shared" ref="C30:W30" si="9">SUM(C25:C29)</f>
        <v>0</v>
      </c>
      <c r="D30" s="469">
        <f t="shared" si="9"/>
        <v>0</v>
      </c>
      <c r="E30" s="337">
        <f t="shared" si="9"/>
        <v>469</v>
      </c>
      <c r="F30" s="338">
        <f t="shared" si="9"/>
        <v>317</v>
      </c>
      <c r="G30" s="337">
        <f t="shared" si="9"/>
        <v>1495</v>
      </c>
      <c r="H30" s="338">
        <f t="shared" si="9"/>
        <v>1372</v>
      </c>
      <c r="I30" s="339">
        <f t="shared" si="9"/>
        <v>745</v>
      </c>
      <c r="J30" s="40">
        <f t="shared" si="9"/>
        <v>4398</v>
      </c>
      <c r="K30" s="103">
        <f t="shared" si="9"/>
        <v>0</v>
      </c>
      <c r="L30" s="295">
        <f t="shared" si="9"/>
        <v>0</v>
      </c>
      <c r="M30" s="115">
        <f t="shared" si="9"/>
        <v>0</v>
      </c>
      <c r="N30" s="97">
        <f t="shared" si="9"/>
        <v>0</v>
      </c>
      <c r="O30" s="435">
        <f t="shared" si="9"/>
        <v>4398</v>
      </c>
      <c r="P30" s="288">
        <f t="shared" si="9"/>
        <v>0</v>
      </c>
      <c r="Q30" s="139">
        <f t="shared" si="9"/>
        <v>0</v>
      </c>
      <c r="R30" s="295">
        <f t="shared" si="9"/>
        <v>0</v>
      </c>
      <c r="S30" s="139">
        <f t="shared" si="9"/>
        <v>0</v>
      </c>
      <c r="T30" s="295">
        <f t="shared" si="9"/>
        <v>0</v>
      </c>
      <c r="U30" s="139">
        <f t="shared" si="9"/>
        <v>0</v>
      </c>
      <c r="V30" s="423">
        <f t="shared" si="9"/>
        <v>0</v>
      </c>
      <c r="W30" s="417">
        <f t="shared" si="9"/>
        <v>4398</v>
      </c>
      <c r="X30" s="525"/>
      <c r="Y30" s="391">
        <f>SUM(Y25:Y29)</f>
        <v>4398</v>
      </c>
      <c r="Z30" s="528">
        <f t="shared" si="0"/>
        <v>0</v>
      </c>
      <c r="AA30" s="572"/>
      <c r="AB30" s="615"/>
      <c r="AC30" s="596">
        <f t="shared" ref="AC30:AI30" si="10">SUM(AC25:AC29)</f>
        <v>0</v>
      </c>
      <c r="AD30" s="538">
        <f t="shared" si="10"/>
        <v>0</v>
      </c>
      <c r="AE30" s="538">
        <f t="shared" si="10"/>
        <v>0</v>
      </c>
      <c r="AF30" s="538">
        <f t="shared" si="10"/>
        <v>0</v>
      </c>
      <c r="AG30" s="597">
        <f t="shared" si="10"/>
        <v>0</v>
      </c>
      <c r="AH30" s="557">
        <f t="shared" si="10"/>
        <v>0</v>
      </c>
      <c r="AI30" s="558">
        <f t="shared" si="10"/>
        <v>4398</v>
      </c>
      <c r="AJ30" s="495"/>
      <c r="AK30" s="502">
        <f>SUM(AK25:AK29)</f>
        <v>4398</v>
      </c>
      <c r="AL30" s="534">
        <f>IF(B21=0,0,AK30/B30)</f>
        <v>0</v>
      </c>
      <c r="AM30" s="544"/>
      <c r="AN30" s="547">
        <f>SUM(AN25:AN29)</f>
        <v>0</v>
      </c>
      <c r="AO30" s="580">
        <f>IF(W30=0,0,AN30/W30)</f>
        <v>0</v>
      </c>
      <c r="AP30" s="207"/>
      <c r="AQ30" s="616"/>
      <c r="AR30" s="632"/>
      <c r="AS30" s="207"/>
      <c r="BA30" s="238">
        <f>SUM(BA25:BA29)</f>
        <v>0</v>
      </c>
      <c r="BE30" s="97">
        <f>SUM(BE25:BE29)</f>
        <v>4672306</v>
      </c>
    </row>
    <row r="31" spans="1:57" ht="16.5" x14ac:dyDescent="0.3">
      <c r="A31" s="19" t="s">
        <v>20</v>
      </c>
      <c r="B31" s="655">
        <f>SUM(B30+B24+B19)</f>
        <v>0</v>
      </c>
      <c r="C31" s="370">
        <f t="shared" ref="C31:K31" si="11">+C19+C24+C30</f>
        <v>0</v>
      </c>
      <c r="D31" s="470">
        <f t="shared" si="11"/>
        <v>0</v>
      </c>
      <c r="E31" s="340">
        <f t="shared" si="11"/>
        <v>6938</v>
      </c>
      <c r="F31" s="341">
        <f t="shared" si="11"/>
        <v>11215</v>
      </c>
      <c r="G31" s="342">
        <f t="shared" si="11"/>
        <v>3949</v>
      </c>
      <c r="H31" s="341">
        <f t="shared" si="11"/>
        <v>68181</v>
      </c>
      <c r="I31" s="343">
        <f t="shared" si="11"/>
        <v>61925</v>
      </c>
      <c r="J31" s="76">
        <f t="shared" si="11"/>
        <v>152208</v>
      </c>
      <c r="K31" s="80">
        <f t="shared" si="11"/>
        <v>75000</v>
      </c>
      <c r="L31" s="296">
        <f>+L19+L24+L30</f>
        <v>0</v>
      </c>
      <c r="M31" s="260">
        <f t="shared" ref="M31:W31" si="12">+M19+M24+M30</f>
        <v>0</v>
      </c>
      <c r="N31" s="98">
        <f t="shared" si="12"/>
        <v>75000</v>
      </c>
      <c r="O31" s="436">
        <f t="shared" si="12"/>
        <v>227208</v>
      </c>
      <c r="P31" s="289">
        <f t="shared" si="12"/>
        <v>0</v>
      </c>
      <c r="Q31" s="269">
        <f t="shared" si="12"/>
        <v>0</v>
      </c>
      <c r="R31" s="296">
        <f t="shared" si="12"/>
        <v>0</v>
      </c>
      <c r="S31" s="269">
        <f t="shared" si="12"/>
        <v>0</v>
      </c>
      <c r="T31" s="296">
        <f t="shared" si="12"/>
        <v>0</v>
      </c>
      <c r="U31" s="269">
        <f t="shared" si="12"/>
        <v>0</v>
      </c>
      <c r="V31" s="424">
        <f t="shared" si="12"/>
        <v>0</v>
      </c>
      <c r="W31" s="418">
        <f t="shared" si="12"/>
        <v>227208</v>
      </c>
      <c r="X31" s="525"/>
      <c r="Y31" s="38">
        <f>+Y19+Y24+Y30</f>
        <v>227208</v>
      </c>
      <c r="Z31" s="518">
        <f t="shared" si="0"/>
        <v>0</v>
      </c>
      <c r="AA31" s="572"/>
      <c r="AB31" s="615"/>
      <c r="AC31" s="598">
        <f>SUM(AC30+AC24+AC19)</f>
        <v>0</v>
      </c>
      <c r="AD31" s="539">
        <f>SUM(AD30+AD24+AD19)</f>
        <v>0</v>
      </c>
      <c r="AE31" s="539">
        <f>SUM(AE30+AE24+AE19)</f>
        <v>0</v>
      </c>
      <c r="AF31" s="539">
        <f>SUM(AF30+AF24+AF19)</f>
        <v>0</v>
      </c>
      <c r="AG31" s="599">
        <f>SUM(AG30+AG24+AG19)</f>
        <v>0</v>
      </c>
      <c r="AH31" s="559">
        <f>SUM(AH30+AH24+AH20)</f>
        <v>0</v>
      </c>
      <c r="AI31" s="560">
        <f>SUM(AI30+AI24+AI19)</f>
        <v>227208</v>
      </c>
      <c r="AJ31" s="495"/>
      <c r="AK31" s="503">
        <f>SUM(AK30+AK24+AK19)</f>
        <v>227208</v>
      </c>
      <c r="AL31" s="535">
        <f>IF(B21=0,0,AK31/B31)</f>
        <v>0</v>
      </c>
      <c r="AM31" s="544"/>
      <c r="AN31" s="548">
        <f>SUM(AN30+AN24+AN19)</f>
        <v>0</v>
      </c>
      <c r="AO31" s="581">
        <f t="shared" si="2"/>
        <v>0</v>
      </c>
      <c r="AP31" s="207"/>
      <c r="AQ31" s="616"/>
      <c r="AR31" s="632"/>
      <c r="AS31" s="207"/>
      <c r="BA31" s="260">
        <f>+BA19+BA24+BA30</f>
        <v>0</v>
      </c>
      <c r="BE31" s="98">
        <f>+BE19+BE24+BE30</f>
        <v>495081961</v>
      </c>
    </row>
    <row r="32" spans="1:57" ht="16.5" x14ac:dyDescent="0.3">
      <c r="A32" s="16"/>
      <c r="B32" s="656"/>
      <c r="C32" s="376"/>
      <c r="D32" s="471"/>
      <c r="E32" s="351"/>
      <c r="F32" s="352"/>
      <c r="G32" s="174"/>
      <c r="H32" s="303"/>
      <c r="I32" s="176"/>
      <c r="J32" s="74"/>
      <c r="K32" s="207"/>
      <c r="L32" s="293"/>
      <c r="M32" s="217"/>
      <c r="N32" s="95"/>
      <c r="O32" s="433"/>
      <c r="P32" s="286"/>
      <c r="Q32" s="58"/>
      <c r="R32" s="293"/>
      <c r="S32" s="58"/>
      <c r="T32" s="293"/>
      <c r="U32" s="58"/>
      <c r="V32" s="425"/>
      <c r="W32" s="416"/>
      <c r="X32" s="525"/>
      <c r="Y32" s="353"/>
      <c r="Z32" s="516"/>
      <c r="AA32" s="572"/>
      <c r="AB32" s="615"/>
      <c r="AC32" s="592"/>
      <c r="AD32" s="511"/>
      <c r="AE32" s="511"/>
      <c r="AF32" s="648"/>
      <c r="AG32" s="593"/>
      <c r="AH32" s="553"/>
      <c r="AI32" s="561"/>
      <c r="AJ32" s="495"/>
      <c r="AK32" s="501"/>
      <c r="AL32" s="532"/>
      <c r="AM32" s="544"/>
      <c r="AN32" s="124"/>
      <c r="AO32" s="127"/>
      <c r="AP32" s="207"/>
      <c r="AQ32" s="616"/>
      <c r="AR32" s="632"/>
      <c r="AS32" s="207"/>
      <c r="BA32" s="207"/>
      <c r="BE32" s="95"/>
    </row>
    <row r="33" spans="1:57" ht="16.5" x14ac:dyDescent="0.3">
      <c r="A33" s="447" t="s">
        <v>99</v>
      </c>
      <c r="B33" s="657"/>
      <c r="C33" s="377"/>
      <c r="D33" s="666"/>
      <c r="E33" s="354"/>
      <c r="F33" s="359"/>
      <c r="G33" s="355"/>
      <c r="H33" s="359"/>
      <c r="I33" s="362"/>
      <c r="J33" s="356"/>
      <c r="K33" s="360"/>
      <c r="L33" s="361"/>
      <c r="M33" s="362"/>
      <c r="N33" s="356"/>
      <c r="O33" s="437"/>
      <c r="P33" s="360"/>
      <c r="Q33" s="361"/>
      <c r="R33" s="361"/>
      <c r="S33" s="361"/>
      <c r="T33" s="361"/>
      <c r="U33" s="361"/>
      <c r="V33" s="442"/>
      <c r="W33" s="442"/>
      <c r="X33" s="525"/>
      <c r="Y33" s="448"/>
      <c r="Z33" s="519"/>
      <c r="AA33" s="573"/>
      <c r="AB33" s="617"/>
      <c r="AC33" s="592"/>
      <c r="AD33" s="511"/>
      <c r="AE33" s="511"/>
      <c r="AF33" s="648"/>
      <c r="AG33" s="593"/>
      <c r="AH33" s="553"/>
      <c r="AI33" s="561"/>
      <c r="AJ33" s="495"/>
      <c r="AK33" s="501"/>
      <c r="AL33" s="532"/>
      <c r="AM33" s="544"/>
      <c r="AN33" s="124"/>
      <c r="AO33" s="127"/>
      <c r="AP33" s="207"/>
      <c r="AQ33" s="616"/>
      <c r="AR33" s="632"/>
      <c r="AS33" s="207"/>
      <c r="BA33" s="207"/>
      <c r="BE33" s="95"/>
    </row>
    <row r="34" spans="1:57" ht="16.5" x14ac:dyDescent="0.3">
      <c r="A34" s="449" t="s">
        <v>107</v>
      </c>
      <c r="B34" s="656">
        <v>0</v>
      </c>
      <c r="C34" s="376">
        <v>0</v>
      </c>
      <c r="D34" s="268">
        <v>0</v>
      </c>
      <c r="E34" s="444">
        <v>0</v>
      </c>
      <c r="F34" s="404">
        <v>0</v>
      </c>
      <c r="G34" s="450">
        <v>0</v>
      </c>
      <c r="H34" s="404">
        <v>0</v>
      </c>
      <c r="I34" s="451">
        <v>0</v>
      </c>
      <c r="J34" s="74">
        <f>SUM(E34:I34)</f>
        <v>0</v>
      </c>
      <c r="K34" s="286">
        <f>F34+I34+J34</f>
        <v>0</v>
      </c>
      <c r="L34" s="293">
        <v>100000</v>
      </c>
      <c r="M34" s="280">
        <v>0</v>
      </c>
      <c r="N34" s="237">
        <f>SUM(K34:M34)</f>
        <v>100000</v>
      </c>
      <c r="O34" s="425">
        <f>+J34+N34</f>
        <v>100000</v>
      </c>
      <c r="P34" s="406">
        <v>0</v>
      </c>
      <c r="Q34" s="319">
        <v>0</v>
      </c>
      <c r="R34" s="319">
        <v>0</v>
      </c>
      <c r="S34" s="319">
        <v>0</v>
      </c>
      <c r="T34" s="319">
        <v>0</v>
      </c>
      <c r="U34" s="319">
        <v>0</v>
      </c>
      <c r="V34" s="425">
        <f>SUM(P34:U34)</f>
        <v>0</v>
      </c>
      <c r="W34" s="416">
        <f>+B34+O34+V34</f>
        <v>100000</v>
      </c>
      <c r="X34" s="525"/>
      <c r="Y34" s="390">
        <f>W34-B34</f>
        <v>100000</v>
      </c>
      <c r="Z34" s="516">
        <f>IF(B34=0,0,Y34/B34)</f>
        <v>0</v>
      </c>
      <c r="AA34" s="572"/>
      <c r="AB34" s="615"/>
      <c r="AC34" s="592">
        <v>0</v>
      </c>
      <c r="AD34" s="511">
        <v>0</v>
      </c>
      <c r="AE34" s="511">
        <v>0</v>
      </c>
      <c r="AF34" s="648">
        <v>0</v>
      </c>
      <c r="AG34" s="593">
        <v>0</v>
      </c>
      <c r="AH34" s="553">
        <f>SUM(AC34:AG34)</f>
        <v>0</v>
      </c>
      <c r="AI34" s="554">
        <f>SUM(W34+AH34)</f>
        <v>100000</v>
      </c>
      <c r="AJ34" s="495"/>
      <c r="AK34" s="501">
        <f>SUM(AI34-B34)</f>
        <v>100000</v>
      </c>
      <c r="AL34" s="532">
        <f>IF(B34=0,0,AK34/B34)</f>
        <v>0</v>
      </c>
      <c r="AM34" s="544"/>
      <c r="AN34" s="124">
        <f>AI34-W34</f>
        <v>0</v>
      </c>
      <c r="AO34" s="127">
        <f>IF(W34=0,0,AN34/W34)</f>
        <v>0</v>
      </c>
      <c r="AP34" s="207"/>
      <c r="AQ34" s="616"/>
      <c r="AR34" s="632"/>
      <c r="AS34" s="207"/>
      <c r="BA34" s="207"/>
      <c r="BE34" s="95"/>
    </row>
    <row r="35" spans="1:57" ht="16.5" x14ac:dyDescent="0.3">
      <c r="A35" s="453" t="s">
        <v>108</v>
      </c>
      <c r="B35" s="656">
        <v>0</v>
      </c>
      <c r="C35" s="376">
        <v>0</v>
      </c>
      <c r="D35" s="268">
        <v>0</v>
      </c>
      <c r="E35" s="444">
        <v>0</v>
      </c>
      <c r="F35" s="404">
        <v>0</v>
      </c>
      <c r="G35" s="403">
        <v>0</v>
      </c>
      <c r="H35" s="404">
        <v>0</v>
      </c>
      <c r="I35" s="405">
        <v>0</v>
      </c>
      <c r="J35" s="445">
        <f>SUM(E35:I35)</f>
        <v>0</v>
      </c>
      <c r="K35" s="207">
        <v>0</v>
      </c>
      <c r="L35" s="293">
        <v>0</v>
      </c>
      <c r="M35" s="217">
        <v>0</v>
      </c>
      <c r="N35" s="446">
        <f>SUM(K35:M35)</f>
        <v>0</v>
      </c>
      <c r="O35" s="426">
        <f>+J35+N35</f>
        <v>0</v>
      </c>
      <c r="P35" s="406">
        <v>0</v>
      </c>
      <c r="Q35" s="42">
        <v>0</v>
      </c>
      <c r="R35" s="319">
        <v>0</v>
      </c>
      <c r="S35" s="42">
        <v>0</v>
      </c>
      <c r="T35" s="42">
        <v>0</v>
      </c>
      <c r="U35" s="42">
        <v>0</v>
      </c>
      <c r="V35" s="426">
        <f>SUM(P35:U35)</f>
        <v>0</v>
      </c>
      <c r="W35" s="416">
        <f>+B35+O35+V35</f>
        <v>0</v>
      </c>
      <c r="X35" s="525"/>
      <c r="Y35" s="390">
        <f>W35-B35</f>
        <v>0</v>
      </c>
      <c r="Z35" s="516">
        <f>IF(B35=0,0,Y35/B35)</f>
        <v>0</v>
      </c>
      <c r="AA35" s="572"/>
      <c r="AB35" s="615"/>
      <c r="AC35" s="592">
        <v>0</v>
      </c>
      <c r="AD35" s="511">
        <v>0</v>
      </c>
      <c r="AE35" s="511">
        <v>0</v>
      </c>
      <c r="AF35" s="648">
        <v>0</v>
      </c>
      <c r="AG35" s="593">
        <v>0</v>
      </c>
      <c r="AH35" s="553">
        <f>SUM(AC35:AG35)</f>
        <v>0</v>
      </c>
      <c r="AI35" s="554">
        <f>SUM(W35+AH35)</f>
        <v>0</v>
      </c>
      <c r="AJ35" s="495"/>
      <c r="AK35" s="504">
        <f>SUM(AI35-B35)</f>
        <v>0</v>
      </c>
      <c r="AL35" s="532">
        <f>IF(B35=0,0,AK35/B35)</f>
        <v>0</v>
      </c>
      <c r="AM35" s="544"/>
      <c r="AN35" s="124">
        <f>AI35-W35</f>
        <v>0</v>
      </c>
      <c r="AO35" s="127">
        <f>IF(W35=0,0,AN35/W35)</f>
        <v>0</v>
      </c>
      <c r="AP35" s="207"/>
      <c r="AQ35" s="616"/>
      <c r="AR35" s="632"/>
      <c r="AS35" s="207"/>
      <c r="BA35" s="207"/>
      <c r="BE35" s="95"/>
    </row>
    <row r="36" spans="1:57" ht="16.5" x14ac:dyDescent="0.3">
      <c r="A36" s="443" t="s">
        <v>109</v>
      </c>
      <c r="B36" s="655">
        <f>SUM(B34:B35)</f>
        <v>0</v>
      </c>
      <c r="C36" s="370">
        <f t="shared" ref="C36:W36" si="13">SUM(C34:C35)</f>
        <v>0</v>
      </c>
      <c r="D36" s="667">
        <f t="shared" si="13"/>
        <v>0</v>
      </c>
      <c r="E36" s="365">
        <f t="shared" si="13"/>
        <v>0</v>
      </c>
      <c r="F36" s="366">
        <f t="shared" si="13"/>
        <v>0</v>
      </c>
      <c r="G36" s="408">
        <f t="shared" si="13"/>
        <v>0</v>
      </c>
      <c r="H36" s="366">
        <f t="shared" si="13"/>
        <v>0</v>
      </c>
      <c r="I36" s="409">
        <f t="shared" si="13"/>
        <v>0</v>
      </c>
      <c r="J36" s="76">
        <f t="shared" si="13"/>
        <v>0</v>
      </c>
      <c r="K36" s="80">
        <f t="shared" si="13"/>
        <v>0</v>
      </c>
      <c r="L36" s="296">
        <f t="shared" si="13"/>
        <v>100000</v>
      </c>
      <c r="M36" s="260">
        <f t="shared" si="13"/>
        <v>0</v>
      </c>
      <c r="N36" s="396">
        <f t="shared" si="13"/>
        <v>100000</v>
      </c>
      <c r="O36" s="438">
        <f t="shared" si="13"/>
        <v>100000</v>
      </c>
      <c r="P36" s="367">
        <f t="shared" si="13"/>
        <v>0</v>
      </c>
      <c r="Q36" s="44">
        <f t="shared" si="13"/>
        <v>0</v>
      </c>
      <c r="R36" s="368">
        <f t="shared" si="13"/>
        <v>0</v>
      </c>
      <c r="S36" s="44">
        <f t="shared" si="13"/>
        <v>0</v>
      </c>
      <c r="T36" s="44">
        <f t="shared" si="13"/>
        <v>0</v>
      </c>
      <c r="U36" s="44">
        <f t="shared" si="13"/>
        <v>0</v>
      </c>
      <c r="V36" s="424">
        <f t="shared" si="13"/>
        <v>0</v>
      </c>
      <c r="W36" s="418">
        <f t="shared" si="13"/>
        <v>100000</v>
      </c>
      <c r="X36" s="526"/>
      <c r="Y36" s="392">
        <f>SUM(Y34:Y35)</f>
        <v>100000</v>
      </c>
      <c r="Z36" s="518">
        <f>IF(B36=0,0,Y36/B36)</f>
        <v>0</v>
      </c>
      <c r="AA36" s="572"/>
      <c r="AB36" s="615"/>
      <c r="AC36" s="598">
        <f t="shared" ref="AC36:AI36" si="14">SUM(AC34:AC35)</f>
        <v>0</v>
      </c>
      <c r="AD36" s="539">
        <f t="shared" si="14"/>
        <v>0</v>
      </c>
      <c r="AE36" s="539">
        <f t="shared" si="14"/>
        <v>0</v>
      </c>
      <c r="AF36" s="539">
        <f t="shared" si="14"/>
        <v>0</v>
      </c>
      <c r="AG36" s="599">
        <f t="shared" si="14"/>
        <v>0</v>
      </c>
      <c r="AH36" s="559">
        <f t="shared" si="14"/>
        <v>0</v>
      </c>
      <c r="AI36" s="560">
        <f t="shared" si="14"/>
        <v>100000</v>
      </c>
      <c r="AJ36" s="496"/>
      <c r="AK36" s="503">
        <f>SUM(AK34:AK35)</f>
        <v>100000</v>
      </c>
      <c r="AL36" s="535">
        <f>IF(B36=0,0,AK36/B36)</f>
        <v>0</v>
      </c>
      <c r="AM36" s="544"/>
      <c r="AN36" s="548">
        <f>SUM(AN34:AN35)</f>
        <v>0</v>
      </c>
      <c r="AO36" s="128">
        <f>IF(W36=0,0,AN36/W36)</f>
        <v>0</v>
      </c>
      <c r="AP36" s="207"/>
      <c r="AQ36" s="616"/>
      <c r="AR36" s="632"/>
      <c r="AS36" s="207"/>
      <c r="BA36" s="207"/>
      <c r="BE36" s="95"/>
    </row>
    <row r="37" spans="1:57" ht="16.5" x14ac:dyDescent="0.3">
      <c r="A37" s="16"/>
      <c r="B37" s="656"/>
      <c r="C37" s="376"/>
      <c r="D37" s="471"/>
      <c r="E37" s="407"/>
      <c r="F37" s="303"/>
      <c r="G37" s="174"/>
      <c r="H37" s="303"/>
      <c r="I37" s="176"/>
      <c r="J37" s="74"/>
      <c r="K37" s="207"/>
      <c r="L37" s="293"/>
      <c r="M37" s="217"/>
      <c r="N37" s="95"/>
      <c r="O37" s="433"/>
      <c r="P37" s="286"/>
      <c r="Q37" s="58"/>
      <c r="R37" s="293"/>
      <c r="S37" s="58"/>
      <c r="T37" s="293"/>
      <c r="U37" s="58"/>
      <c r="V37" s="425"/>
      <c r="W37" s="416"/>
      <c r="X37" s="525"/>
      <c r="Y37" s="353"/>
      <c r="Z37" s="516"/>
      <c r="AA37" s="572"/>
      <c r="AB37" s="615"/>
      <c r="AC37" s="592"/>
      <c r="AD37" s="511"/>
      <c r="AE37" s="511"/>
      <c r="AF37" s="648"/>
      <c r="AG37" s="593"/>
      <c r="AH37" s="553"/>
      <c r="AI37" s="561"/>
      <c r="AJ37" s="495"/>
      <c r="AK37" s="501"/>
      <c r="AL37" s="532"/>
      <c r="AM37" s="544"/>
      <c r="AN37" s="124"/>
      <c r="AO37" s="127"/>
      <c r="AP37" s="207"/>
      <c r="AQ37" s="616"/>
      <c r="AR37" s="632"/>
      <c r="AS37" s="207"/>
      <c r="BA37" s="207"/>
      <c r="BE37" s="95"/>
    </row>
    <row r="38" spans="1:57" ht="16.5" x14ac:dyDescent="0.3">
      <c r="A38" s="20" t="s">
        <v>18</v>
      </c>
      <c r="B38" s="656"/>
      <c r="C38" s="376"/>
      <c r="D38" s="471"/>
      <c r="E38" s="363"/>
      <c r="F38" s="364"/>
      <c r="G38" s="174"/>
      <c r="H38" s="303"/>
      <c r="I38" s="176"/>
      <c r="J38" s="74"/>
      <c r="K38" s="207"/>
      <c r="L38" s="293"/>
      <c r="M38" s="217"/>
      <c r="N38" s="95"/>
      <c r="O38" s="433"/>
      <c r="P38" s="286"/>
      <c r="Q38" s="58"/>
      <c r="R38" s="293"/>
      <c r="S38" s="58"/>
      <c r="T38" s="293"/>
      <c r="U38" s="58"/>
      <c r="V38" s="425"/>
      <c r="W38" s="419"/>
      <c r="X38" s="525"/>
      <c r="Y38" s="393"/>
      <c r="Z38" s="516"/>
      <c r="AA38" s="572"/>
      <c r="AB38" s="615"/>
      <c r="AC38" s="592"/>
      <c r="AD38" s="511"/>
      <c r="AE38" s="511"/>
      <c r="AF38" s="648"/>
      <c r="AG38" s="593"/>
      <c r="AH38" s="553"/>
      <c r="AI38" s="561"/>
      <c r="AJ38" s="495"/>
      <c r="AK38" s="501"/>
      <c r="AL38" s="532"/>
      <c r="AM38" s="544"/>
      <c r="AN38" s="124"/>
      <c r="AO38" s="127"/>
      <c r="AP38" s="207"/>
      <c r="AQ38" s="616"/>
      <c r="AR38" s="632"/>
      <c r="AS38" s="207"/>
      <c r="BA38" s="207"/>
      <c r="BE38" s="95"/>
    </row>
    <row r="39" spans="1:57" ht="16.5" x14ac:dyDescent="0.3">
      <c r="A39" s="16" t="s">
        <v>15</v>
      </c>
      <c r="B39" s="656">
        <v>0</v>
      </c>
      <c r="C39" s="376">
        <v>0</v>
      </c>
      <c r="D39" s="471">
        <v>0</v>
      </c>
      <c r="E39" s="207">
        <v>0</v>
      </c>
      <c r="F39" s="58">
        <v>0</v>
      </c>
      <c r="G39" s="207">
        <v>1126</v>
      </c>
      <c r="H39" s="58">
        <v>0</v>
      </c>
      <c r="I39" s="217">
        <v>965</v>
      </c>
      <c r="J39" s="74">
        <f>SUM(E39:I39)</f>
        <v>2091</v>
      </c>
      <c r="K39" s="207">
        <v>0</v>
      </c>
      <c r="L39" s="293">
        <v>0</v>
      </c>
      <c r="M39" s="217">
        <v>0</v>
      </c>
      <c r="N39" s="237">
        <f>SUM(K39:M39)</f>
        <v>0</v>
      </c>
      <c r="O39" s="433">
        <f>+J39+N39</f>
        <v>2091</v>
      </c>
      <c r="P39" s="286">
        <v>0</v>
      </c>
      <c r="Q39" s="58">
        <v>0</v>
      </c>
      <c r="R39" s="293">
        <v>0</v>
      </c>
      <c r="S39" s="58">
        <v>0</v>
      </c>
      <c r="T39" s="293">
        <v>0</v>
      </c>
      <c r="U39" s="58">
        <v>0</v>
      </c>
      <c r="V39" s="425">
        <f>SUM(P39:U39)</f>
        <v>0</v>
      </c>
      <c r="W39" s="416">
        <f>+B39+O39+V39</f>
        <v>2091</v>
      </c>
      <c r="X39" s="525"/>
      <c r="Y39" s="390">
        <f>W39-B39</f>
        <v>2091</v>
      </c>
      <c r="Z39" s="516">
        <f>IF(B39=0,0,Y39/B39)</f>
        <v>0</v>
      </c>
      <c r="AA39" s="572"/>
      <c r="AB39" s="615"/>
      <c r="AC39" s="592">
        <v>0</v>
      </c>
      <c r="AD39" s="511">
        <v>0</v>
      </c>
      <c r="AE39" s="511">
        <v>0</v>
      </c>
      <c r="AF39" s="648">
        <v>0</v>
      </c>
      <c r="AG39" s="593">
        <v>0</v>
      </c>
      <c r="AH39" s="553">
        <f>SUM(AC39:AG39)</f>
        <v>0</v>
      </c>
      <c r="AI39" s="554">
        <f>SUM(W39+AH39)</f>
        <v>2091</v>
      </c>
      <c r="AJ39" s="495"/>
      <c r="AK39" s="501">
        <f>SUM(AI39-B39)</f>
        <v>2091</v>
      </c>
      <c r="AL39" s="532">
        <f>IF(B35=0,0,AK39/B39)</f>
        <v>0</v>
      </c>
      <c r="AM39" s="544"/>
      <c r="AN39" s="124">
        <f>SUM(AI39-W39)</f>
        <v>0</v>
      </c>
      <c r="AO39" s="127">
        <f>IF(W39=0,0,AN39/W39)</f>
        <v>0</v>
      </c>
      <c r="AP39" s="207"/>
      <c r="AQ39" s="616"/>
      <c r="AR39" s="632"/>
      <c r="AS39" s="207"/>
      <c r="BA39" s="207"/>
      <c r="BE39" s="95">
        <v>0</v>
      </c>
    </row>
    <row r="40" spans="1:57" ht="16.5" x14ac:dyDescent="0.3">
      <c r="A40" s="16" t="s">
        <v>31</v>
      </c>
      <c r="B40" s="656">
        <v>0</v>
      </c>
      <c r="C40" s="376">
        <v>0</v>
      </c>
      <c r="D40" s="471">
        <v>0</v>
      </c>
      <c r="E40" s="207">
        <v>0</v>
      </c>
      <c r="F40" s="58">
        <v>0</v>
      </c>
      <c r="G40" s="207">
        <v>1583</v>
      </c>
      <c r="H40" s="58">
        <v>0</v>
      </c>
      <c r="I40" s="217">
        <v>1430</v>
      </c>
      <c r="J40" s="74">
        <f>SUM(E40:I40)</f>
        <v>3013</v>
      </c>
      <c r="K40" s="207">
        <v>0</v>
      </c>
      <c r="L40" s="293">
        <v>0</v>
      </c>
      <c r="M40" s="217">
        <v>0</v>
      </c>
      <c r="N40" s="237">
        <f>SUM(K40:M40)</f>
        <v>0</v>
      </c>
      <c r="O40" s="433">
        <f>+J40+N40</f>
        <v>3013</v>
      </c>
      <c r="P40" s="286">
        <v>0</v>
      </c>
      <c r="Q40" s="58">
        <v>0</v>
      </c>
      <c r="R40" s="293">
        <v>0</v>
      </c>
      <c r="S40" s="58">
        <v>0</v>
      </c>
      <c r="T40" s="293">
        <v>0</v>
      </c>
      <c r="U40" s="58">
        <v>0</v>
      </c>
      <c r="V40" s="425">
        <f>SUM(P40:U40)</f>
        <v>0</v>
      </c>
      <c r="W40" s="416">
        <f>+B40+O40+V40</f>
        <v>3013</v>
      </c>
      <c r="X40" s="525"/>
      <c r="Y40" s="390">
        <f>W40-B40</f>
        <v>3013</v>
      </c>
      <c r="Z40" s="516">
        <f t="shared" ref="Z40:Z45" si="15">IF(B40=0,0,Y40/B40)</f>
        <v>0</v>
      </c>
      <c r="AA40" s="572"/>
      <c r="AB40" s="615"/>
      <c r="AC40" s="592">
        <v>0</v>
      </c>
      <c r="AD40" s="511">
        <v>0</v>
      </c>
      <c r="AE40" s="511">
        <v>0</v>
      </c>
      <c r="AF40" s="648">
        <v>0</v>
      </c>
      <c r="AG40" s="593">
        <v>0</v>
      </c>
      <c r="AH40" s="553">
        <f>SUM(AC40:AG40)</f>
        <v>0</v>
      </c>
      <c r="AI40" s="554">
        <f>SUM(W40+AH40)</f>
        <v>3013</v>
      </c>
      <c r="AJ40" s="495"/>
      <c r="AK40" s="501">
        <f>SUM(AI40-B40)</f>
        <v>3013</v>
      </c>
      <c r="AL40" s="532">
        <f>IF(B36=0,0,AK40/B40)</f>
        <v>0</v>
      </c>
      <c r="AM40" s="544"/>
      <c r="AN40" s="124">
        <f>SUM(AI40-W40)</f>
        <v>0</v>
      </c>
      <c r="AO40" s="127">
        <f t="shared" ref="AO40:AO45" si="16">IF(W40=0,0,AN40/W40)</f>
        <v>0</v>
      </c>
      <c r="AP40" s="207"/>
      <c r="AQ40" s="616"/>
      <c r="AR40" s="632"/>
      <c r="AS40" s="207"/>
      <c r="BA40" s="207"/>
      <c r="BE40" s="95">
        <v>0</v>
      </c>
    </row>
    <row r="41" spans="1:57" ht="16.5" x14ac:dyDescent="0.3">
      <c r="A41" s="16" t="s">
        <v>32</v>
      </c>
      <c r="B41" s="656">
        <v>0</v>
      </c>
      <c r="C41" s="376">
        <v>0</v>
      </c>
      <c r="D41" s="471">
        <v>0</v>
      </c>
      <c r="E41" s="207">
        <v>0</v>
      </c>
      <c r="F41" s="58">
        <v>0</v>
      </c>
      <c r="G41" s="207">
        <v>1787</v>
      </c>
      <c r="H41" s="58">
        <v>0</v>
      </c>
      <c r="I41" s="217">
        <v>0</v>
      </c>
      <c r="J41" s="74">
        <f>SUM(E41:I41)</f>
        <v>1787</v>
      </c>
      <c r="K41" s="207">
        <v>0</v>
      </c>
      <c r="L41" s="293">
        <v>0</v>
      </c>
      <c r="M41" s="217">
        <v>100000</v>
      </c>
      <c r="N41" s="95">
        <f>SUM(K41:M41)</f>
        <v>100000</v>
      </c>
      <c r="O41" s="433">
        <f>+J41+N41</f>
        <v>101787</v>
      </c>
      <c r="P41" s="286">
        <v>0</v>
      </c>
      <c r="Q41" s="58">
        <v>0</v>
      </c>
      <c r="R41" s="293">
        <v>0</v>
      </c>
      <c r="S41" s="58">
        <v>0</v>
      </c>
      <c r="T41" s="293">
        <v>0</v>
      </c>
      <c r="U41" s="58">
        <v>0</v>
      </c>
      <c r="V41" s="425">
        <f>SUM(P41:U41)</f>
        <v>0</v>
      </c>
      <c r="W41" s="416">
        <f>+B41+O41+V41</f>
        <v>101787</v>
      </c>
      <c r="X41" s="525"/>
      <c r="Y41" s="390">
        <f>W41-B41</f>
        <v>101787</v>
      </c>
      <c r="Z41" s="516">
        <f t="shared" si="15"/>
        <v>0</v>
      </c>
      <c r="AA41" s="572"/>
      <c r="AB41" s="615"/>
      <c r="AC41" s="592">
        <v>0</v>
      </c>
      <c r="AD41" s="511">
        <v>0</v>
      </c>
      <c r="AE41" s="511">
        <v>0</v>
      </c>
      <c r="AF41" s="648">
        <v>0</v>
      </c>
      <c r="AG41" s="593">
        <v>0</v>
      </c>
      <c r="AH41" s="553">
        <f>SUM(AC41:AG41)</f>
        <v>0</v>
      </c>
      <c r="AI41" s="554">
        <f>SUM(W41+AH41)</f>
        <v>101787</v>
      </c>
      <c r="AJ41" s="495"/>
      <c r="AK41" s="505">
        <f>SUM(AI41-B41)</f>
        <v>101787</v>
      </c>
      <c r="AL41" s="532">
        <f>IF(B41=0,0,AK41/B41)</f>
        <v>0</v>
      </c>
      <c r="AM41" s="544"/>
      <c r="AN41" s="124">
        <f>SUM(AI41-W41)</f>
        <v>0</v>
      </c>
      <c r="AO41" s="127">
        <f t="shared" si="16"/>
        <v>0</v>
      </c>
      <c r="AP41" s="207"/>
      <c r="AQ41" s="616"/>
      <c r="AR41" s="632"/>
      <c r="AS41" s="207"/>
      <c r="BA41" s="207"/>
      <c r="BE41" s="95">
        <v>0</v>
      </c>
    </row>
    <row r="42" spans="1:57" ht="16.5" x14ac:dyDescent="0.3">
      <c r="A42" s="16" t="s">
        <v>33</v>
      </c>
      <c r="B42" s="656">
        <v>0</v>
      </c>
      <c r="C42" s="376">
        <v>0</v>
      </c>
      <c r="D42" s="471">
        <v>0</v>
      </c>
      <c r="E42" s="207">
        <v>1026</v>
      </c>
      <c r="F42" s="58">
        <v>731</v>
      </c>
      <c r="G42" s="207">
        <v>1907</v>
      </c>
      <c r="H42" s="58">
        <v>1062</v>
      </c>
      <c r="I42" s="217">
        <v>3971</v>
      </c>
      <c r="J42" s="74">
        <f>SUM(E42:I42)</f>
        <v>8697</v>
      </c>
      <c r="K42" s="268">
        <v>0</v>
      </c>
      <c r="L42" s="320">
        <v>0</v>
      </c>
      <c r="M42" s="217">
        <v>0</v>
      </c>
      <c r="N42" s="237">
        <f>SUM(K42:M42)</f>
        <v>0</v>
      </c>
      <c r="O42" s="433">
        <f>+J42+N42</f>
        <v>8697</v>
      </c>
      <c r="P42" s="286">
        <v>0</v>
      </c>
      <c r="Q42" s="58">
        <v>0</v>
      </c>
      <c r="R42" s="293">
        <v>0</v>
      </c>
      <c r="S42" s="58">
        <v>0</v>
      </c>
      <c r="T42" s="293">
        <v>0</v>
      </c>
      <c r="U42" s="58">
        <v>0</v>
      </c>
      <c r="V42" s="425">
        <f>SUM(P42:U42)</f>
        <v>0</v>
      </c>
      <c r="W42" s="416">
        <f>+B42+O42+V42</f>
        <v>8697</v>
      </c>
      <c r="X42" s="525"/>
      <c r="Y42" s="390">
        <f>W42-B42</f>
        <v>8697</v>
      </c>
      <c r="Z42" s="516">
        <f t="shared" si="15"/>
        <v>0</v>
      </c>
      <c r="AA42" s="572"/>
      <c r="AB42" s="615"/>
      <c r="AC42" s="592">
        <v>0</v>
      </c>
      <c r="AD42" s="511">
        <v>0</v>
      </c>
      <c r="AE42" s="511">
        <v>0</v>
      </c>
      <c r="AF42" s="648">
        <v>0</v>
      </c>
      <c r="AG42" s="593">
        <v>0</v>
      </c>
      <c r="AH42" s="553">
        <f>SUM(AC42:AG42)</f>
        <v>0</v>
      </c>
      <c r="AI42" s="554">
        <f>SUM(W42+AH42)</f>
        <v>8697</v>
      </c>
      <c r="AJ42" s="495"/>
      <c r="AK42" s="501">
        <f>SUM(AI42-B42)</f>
        <v>8697</v>
      </c>
      <c r="AL42" s="532">
        <f>IF(B42=0,0,AK42/B42)</f>
        <v>0</v>
      </c>
      <c r="AM42" s="544"/>
      <c r="AN42" s="124">
        <f>SUM(AI42-W42)</f>
        <v>0</v>
      </c>
      <c r="AO42" s="127">
        <f t="shared" si="16"/>
        <v>0</v>
      </c>
      <c r="AP42" s="207"/>
      <c r="AQ42" s="616"/>
      <c r="AR42" s="632"/>
      <c r="AS42" s="207"/>
      <c r="BA42" s="207"/>
      <c r="BE42" s="95">
        <v>0</v>
      </c>
    </row>
    <row r="43" spans="1:57" ht="16.5" x14ac:dyDescent="0.3">
      <c r="A43" s="16" t="s">
        <v>16</v>
      </c>
      <c r="B43" s="656">
        <v>0</v>
      </c>
      <c r="C43" s="376">
        <v>0</v>
      </c>
      <c r="D43" s="471">
        <v>0</v>
      </c>
      <c r="E43" s="207">
        <v>0</v>
      </c>
      <c r="F43" s="383">
        <v>0</v>
      </c>
      <c r="G43" s="207">
        <v>33</v>
      </c>
      <c r="H43" s="383">
        <v>825</v>
      </c>
      <c r="I43" s="217">
        <v>420</v>
      </c>
      <c r="J43" s="74">
        <f>SUM(E43:I43)</f>
        <v>1278</v>
      </c>
      <c r="K43" s="207">
        <v>0</v>
      </c>
      <c r="L43" s="293">
        <v>0</v>
      </c>
      <c r="M43" s="217">
        <v>0</v>
      </c>
      <c r="N43" s="237">
        <f>SUM(K43:M43)</f>
        <v>0</v>
      </c>
      <c r="O43" s="433">
        <f>+J43+N43</f>
        <v>1278</v>
      </c>
      <c r="P43" s="286">
        <v>0</v>
      </c>
      <c r="Q43" s="58">
        <v>0</v>
      </c>
      <c r="R43" s="293">
        <v>0</v>
      </c>
      <c r="S43" s="58">
        <v>0</v>
      </c>
      <c r="T43" s="293">
        <v>0</v>
      </c>
      <c r="U43" s="58">
        <v>0</v>
      </c>
      <c r="V43" s="425">
        <f>SUM(P43:U43)</f>
        <v>0</v>
      </c>
      <c r="W43" s="416">
        <f>+B43+O43+V43</f>
        <v>1278</v>
      </c>
      <c r="X43" s="525"/>
      <c r="Y43" s="390">
        <f>W43-B43</f>
        <v>1278</v>
      </c>
      <c r="Z43" s="516">
        <f t="shared" si="15"/>
        <v>0</v>
      </c>
      <c r="AA43" s="572"/>
      <c r="AB43" s="615"/>
      <c r="AC43" s="592">
        <v>0</v>
      </c>
      <c r="AD43" s="511">
        <v>0</v>
      </c>
      <c r="AE43" s="511">
        <v>0</v>
      </c>
      <c r="AF43" s="648">
        <v>0</v>
      </c>
      <c r="AG43" s="593">
        <v>0</v>
      </c>
      <c r="AH43" s="553">
        <f>SUM(AC43:AG43)</f>
        <v>0</v>
      </c>
      <c r="AI43" s="554">
        <f>SUM(W43+AH43)</f>
        <v>1278</v>
      </c>
      <c r="AJ43" s="495"/>
      <c r="AK43" s="501">
        <f>SUM(AI43-B43)</f>
        <v>1278</v>
      </c>
      <c r="AL43" s="532">
        <f>IF(B43=0,0,AK43/B43)</f>
        <v>0</v>
      </c>
      <c r="AM43" s="544"/>
      <c r="AN43" s="124">
        <f>SUM(AI43-W43)</f>
        <v>0</v>
      </c>
      <c r="AO43" s="127">
        <f t="shared" si="16"/>
        <v>0</v>
      </c>
      <c r="AP43" s="207"/>
      <c r="AQ43" s="616"/>
      <c r="AR43" s="632"/>
      <c r="AS43" s="207"/>
      <c r="BA43" s="207"/>
      <c r="BE43" s="95">
        <v>0</v>
      </c>
    </row>
    <row r="44" spans="1:57" ht="15.75" customHeight="1" x14ac:dyDescent="0.3">
      <c r="A44" s="19" t="s">
        <v>19</v>
      </c>
      <c r="B44" s="655">
        <f t="shared" ref="B44:G44" si="17">SUM(B39:B43)</f>
        <v>0</v>
      </c>
      <c r="C44" s="370">
        <f t="shared" si="17"/>
        <v>0</v>
      </c>
      <c r="D44" s="476">
        <f t="shared" si="17"/>
        <v>0</v>
      </c>
      <c r="E44" s="340">
        <f t="shared" si="17"/>
        <v>1026</v>
      </c>
      <c r="F44" s="341">
        <f t="shared" si="17"/>
        <v>731</v>
      </c>
      <c r="G44" s="344">
        <f t="shared" si="17"/>
        <v>6436</v>
      </c>
      <c r="H44" s="345">
        <f t="shared" ref="H44:W44" si="18">SUM(H39:H43)</f>
        <v>1887</v>
      </c>
      <c r="I44" s="346">
        <f t="shared" si="18"/>
        <v>6786</v>
      </c>
      <c r="J44" s="76">
        <f t="shared" si="18"/>
        <v>16866</v>
      </c>
      <c r="K44" s="80">
        <f t="shared" si="18"/>
        <v>0</v>
      </c>
      <c r="L44" s="296">
        <f>SUM(L39:L43)</f>
        <v>0</v>
      </c>
      <c r="M44" s="260">
        <f t="shared" si="18"/>
        <v>100000</v>
      </c>
      <c r="N44" s="98">
        <f t="shared" si="18"/>
        <v>100000</v>
      </c>
      <c r="O44" s="436">
        <f t="shared" si="18"/>
        <v>116866</v>
      </c>
      <c r="P44" s="289">
        <f t="shared" si="18"/>
        <v>0</v>
      </c>
      <c r="Q44" s="269">
        <f t="shared" si="18"/>
        <v>0</v>
      </c>
      <c r="R44" s="296">
        <f t="shared" si="18"/>
        <v>0</v>
      </c>
      <c r="S44" s="269">
        <f t="shared" si="18"/>
        <v>0</v>
      </c>
      <c r="T44" s="296">
        <f t="shared" si="18"/>
        <v>0</v>
      </c>
      <c r="U44" s="269">
        <f t="shared" si="18"/>
        <v>0</v>
      </c>
      <c r="V44" s="424">
        <f t="shared" si="18"/>
        <v>0</v>
      </c>
      <c r="W44" s="418">
        <f t="shared" si="18"/>
        <v>116866</v>
      </c>
      <c r="X44" s="525"/>
      <c r="Y44" s="394">
        <f>SUM(Y39:Y43)</f>
        <v>116866</v>
      </c>
      <c r="Z44" s="518">
        <f t="shared" si="15"/>
        <v>0</v>
      </c>
      <c r="AA44" s="572"/>
      <c r="AB44" s="615"/>
      <c r="AC44" s="598">
        <f t="shared" ref="AC44:AH44" si="19">SUM(AC38:AC43)</f>
        <v>0</v>
      </c>
      <c r="AD44" s="539">
        <f t="shared" si="19"/>
        <v>0</v>
      </c>
      <c r="AE44" s="539">
        <f t="shared" si="19"/>
        <v>0</v>
      </c>
      <c r="AF44" s="539">
        <f t="shared" si="19"/>
        <v>0</v>
      </c>
      <c r="AG44" s="599">
        <f t="shared" si="19"/>
        <v>0</v>
      </c>
      <c r="AH44" s="559">
        <f t="shared" si="19"/>
        <v>0</v>
      </c>
      <c r="AI44" s="560">
        <f>SUM(AI39:AI43)</f>
        <v>116866</v>
      </c>
      <c r="AJ44" s="495"/>
      <c r="AK44" s="503">
        <f>SUM(AK39:AK43)</f>
        <v>116866</v>
      </c>
      <c r="AL44" s="535">
        <f>IF(B44=0,0,AK44/B44)</f>
        <v>0</v>
      </c>
      <c r="AM44" s="544"/>
      <c r="AN44" s="548">
        <f>SUM(AN39:AN43)</f>
        <v>0</v>
      </c>
      <c r="AO44" s="128">
        <f t="shared" si="16"/>
        <v>0</v>
      </c>
      <c r="AP44" s="207"/>
      <c r="AQ44" s="616"/>
      <c r="AR44" s="632"/>
      <c r="AS44" s="207"/>
      <c r="BA44" s="261">
        <f>SUM(BA39:BA43)</f>
        <v>0</v>
      </c>
      <c r="BE44" s="99">
        <f>SUM(BE39:BE43)</f>
        <v>0</v>
      </c>
    </row>
    <row r="45" spans="1:57" ht="24" customHeight="1" thickBot="1" x14ac:dyDescent="0.35">
      <c r="A45" s="21" t="s">
        <v>23</v>
      </c>
      <c r="B45" s="658">
        <f>SUM(B44+B36+B31)</f>
        <v>0</v>
      </c>
      <c r="C45" s="309">
        <f>+C31+C36+C44</f>
        <v>0</v>
      </c>
      <c r="D45" s="477">
        <f>+D31+D36+D44</f>
        <v>0</v>
      </c>
      <c r="E45" s="82">
        <f>++E31+E355+E44</f>
        <v>7964</v>
      </c>
      <c r="F45" s="271">
        <f>+F31+F36+F44</f>
        <v>11946</v>
      </c>
      <c r="G45" s="64">
        <f>G31+G36+G44</f>
        <v>10385</v>
      </c>
      <c r="H45" s="84">
        <f>+H31+H36+H44</f>
        <v>70068</v>
      </c>
      <c r="I45" s="347">
        <f>+I31+I36+I44</f>
        <v>68711</v>
      </c>
      <c r="J45" s="77">
        <f>+J31+J36+J44</f>
        <v>169074</v>
      </c>
      <c r="K45" s="276">
        <f>+K31+K36+K44</f>
        <v>75000</v>
      </c>
      <c r="L45" s="297">
        <f>+L31+L36+L44</f>
        <v>100000</v>
      </c>
      <c r="M45" s="262">
        <f>+M31++M36+M44</f>
        <v>100000</v>
      </c>
      <c r="N45" s="100">
        <f t="shared" ref="N45:W45" si="20">+N31+N36+N44</f>
        <v>275000</v>
      </c>
      <c r="O45" s="439">
        <f t="shared" si="20"/>
        <v>444074</v>
      </c>
      <c r="P45" s="290">
        <f t="shared" si="20"/>
        <v>0</v>
      </c>
      <c r="Q45" s="298">
        <f t="shared" si="20"/>
        <v>0</v>
      </c>
      <c r="R45" s="298">
        <f t="shared" si="20"/>
        <v>0</v>
      </c>
      <c r="S45" s="298">
        <f t="shared" si="20"/>
        <v>0</v>
      </c>
      <c r="T45" s="298">
        <f t="shared" si="20"/>
        <v>0</v>
      </c>
      <c r="U45" s="298">
        <f t="shared" si="20"/>
        <v>0</v>
      </c>
      <c r="V45" s="427">
        <f t="shared" si="20"/>
        <v>0</v>
      </c>
      <c r="W45" s="420">
        <f t="shared" si="20"/>
        <v>444074</v>
      </c>
      <c r="X45" s="525"/>
      <c r="Y45" s="369">
        <f>+Y31+Y36+Y44</f>
        <v>444074</v>
      </c>
      <c r="Z45" s="520">
        <f t="shared" si="15"/>
        <v>0</v>
      </c>
      <c r="AA45" s="574"/>
      <c r="AB45" s="618"/>
      <c r="AC45" s="600">
        <f t="shared" ref="AC45:AI45" si="21">SUM(AC44+AC36+AC31)</f>
        <v>0</v>
      </c>
      <c r="AD45" s="540">
        <f t="shared" si="21"/>
        <v>0</v>
      </c>
      <c r="AE45" s="540">
        <f t="shared" si="21"/>
        <v>0</v>
      </c>
      <c r="AF45" s="540">
        <f t="shared" si="21"/>
        <v>0</v>
      </c>
      <c r="AG45" s="601">
        <f t="shared" si="21"/>
        <v>0</v>
      </c>
      <c r="AH45" s="562">
        <f t="shared" si="21"/>
        <v>0</v>
      </c>
      <c r="AI45" s="563">
        <f t="shared" si="21"/>
        <v>444074</v>
      </c>
      <c r="AJ45" s="497"/>
      <c r="AK45" s="506">
        <f>SUM(AK44+AK36+AK31)</f>
        <v>444074</v>
      </c>
      <c r="AL45" s="536">
        <f>IF(B45=0,0,AK45/B45)</f>
        <v>0</v>
      </c>
      <c r="AM45" s="550"/>
      <c r="AN45" s="568">
        <f>SUM(AN44+AN36+AN31)</f>
        <v>0</v>
      </c>
      <c r="AO45" s="128">
        <f t="shared" si="16"/>
        <v>0</v>
      </c>
      <c r="AP45" s="242"/>
      <c r="AQ45" s="619"/>
      <c r="AR45" s="633"/>
      <c r="AS45" s="243"/>
      <c r="BA45" s="262">
        <f>+BA31+BA44</f>
        <v>0</v>
      </c>
      <c r="BE45" s="100">
        <f>+BE31+BE44</f>
        <v>495081961</v>
      </c>
    </row>
    <row r="46" spans="1:57" s="9" customFormat="1" ht="17.25" customHeight="1" thickTop="1" x14ac:dyDescent="0.3">
      <c r="A46" s="6" t="s">
        <v>50</v>
      </c>
      <c r="B46" s="6"/>
      <c r="C46" s="348"/>
      <c r="D46" s="310">
        <f>D45-B45</f>
        <v>0</v>
      </c>
      <c r="E46" s="258"/>
      <c r="F46" s="258"/>
      <c r="G46" s="259"/>
      <c r="H46" s="6"/>
      <c r="I46" s="6"/>
      <c r="J46" s="46"/>
      <c r="K46" s="6"/>
      <c r="L46" s="6"/>
      <c r="M46" s="6"/>
      <c r="N46" s="6"/>
      <c r="O46" s="46">
        <f>+J45+N45</f>
        <v>444074</v>
      </c>
      <c r="P46" s="6"/>
      <c r="Q46" s="6"/>
      <c r="R46" s="6"/>
      <c r="S46" s="6"/>
      <c r="T46" s="6"/>
      <c r="U46" s="6"/>
      <c r="V46" s="6"/>
      <c r="W46" s="46">
        <f>W45-B45</f>
        <v>444074</v>
      </c>
      <c r="X46" s="46"/>
      <c r="Y46" s="513"/>
      <c r="Z46" s="513"/>
      <c r="AA46" s="513"/>
      <c r="AB46" s="620"/>
      <c r="AC46" s="521"/>
      <c r="AD46" s="521"/>
      <c r="AE46" s="521"/>
      <c r="AF46" s="521"/>
      <c r="AG46" s="521"/>
      <c r="AH46" s="521"/>
      <c r="AI46" s="521">
        <f>AI45-B45</f>
        <v>444074</v>
      </c>
      <c r="AJ46" s="512"/>
      <c r="AK46" s="244"/>
      <c r="AL46" s="244"/>
      <c r="AM46" s="244"/>
      <c r="AN46" s="244"/>
      <c r="AO46" s="244"/>
      <c r="AP46" s="244"/>
      <c r="AQ46" s="522"/>
      <c r="AR46" s="634"/>
      <c r="AS46" s="244"/>
      <c r="AT46" s="244"/>
    </row>
    <row r="47" spans="1:57" s="9" customFormat="1" ht="17.25" customHeight="1" x14ac:dyDescent="0.3">
      <c r="A47" s="47" t="s">
        <v>51</v>
      </c>
      <c r="B47" s="47"/>
      <c r="C47" s="47"/>
      <c r="D47" s="48" t="e">
        <f>D46/B45</f>
        <v>#DIV/0!</v>
      </c>
      <c r="E47" s="304"/>
      <c r="F47" s="257"/>
      <c r="G47" s="257"/>
      <c r="H47" s="47"/>
      <c r="I47" s="47"/>
      <c r="J47" s="305"/>
      <c r="K47" s="47"/>
      <c r="L47" s="47"/>
      <c r="M47" s="47"/>
      <c r="N47" s="47"/>
      <c r="O47" s="456">
        <f>IF(B45=0,0,O46/B45)</f>
        <v>0</v>
      </c>
      <c r="P47" s="47"/>
      <c r="Q47" s="47"/>
      <c r="R47" s="47"/>
      <c r="S47" s="47"/>
      <c r="T47" s="47"/>
      <c r="U47" s="47"/>
      <c r="V47" s="47"/>
      <c r="W47" s="456">
        <f>IF(B45=0,0,W46/B45)</f>
        <v>0</v>
      </c>
      <c r="X47" s="384"/>
      <c r="Y47" s="513"/>
      <c r="Z47" s="513"/>
      <c r="AA47" s="513"/>
      <c r="AB47" s="620"/>
      <c r="AC47" s="639"/>
      <c r="AD47" s="639"/>
      <c r="AE47" s="639"/>
      <c r="AF47" s="639"/>
      <c r="AG47" s="639"/>
      <c r="AH47" s="639"/>
      <c r="AI47" s="640" t="e">
        <f>AI46/B45</f>
        <v>#DIV/0!</v>
      </c>
      <c r="AJ47" s="384"/>
      <c r="AK47" s="244"/>
      <c r="AL47" s="244"/>
      <c r="AM47" s="244"/>
      <c r="AN47" s="244"/>
      <c r="AO47" s="244"/>
      <c r="AP47" s="244"/>
      <c r="AQ47" s="522"/>
      <c r="AR47" s="634"/>
      <c r="AS47" s="244"/>
      <c r="AT47" s="244"/>
    </row>
    <row r="48" spans="1:57" s="9" customFormat="1" ht="10.5" customHeight="1" x14ac:dyDescent="0.3">
      <c r="A48" s="6"/>
      <c r="B48" s="6"/>
      <c r="C48" s="349"/>
      <c r="D48" s="6"/>
      <c r="E48" s="6"/>
      <c r="F48" s="6"/>
      <c r="G48" s="6"/>
      <c r="H48" s="6"/>
      <c r="I48" s="6"/>
      <c r="J48" s="46"/>
      <c r="K48" s="6"/>
      <c r="L48" s="6"/>
      <c r="M48" s="6"/>
      <c r="N48" s="6"/>
      <c r="O48" s="6"/>
      <c r="P48" s="66"/>
      <c r="Q48" s="277"/>
      <c r="R48" s="277"/>
      <c r="S48" s="277"/>
      <c r="T48" s="277"/>
      <c r="U48" s="277"/>
      <c r="V48" s="66"/>
      <c r="W48" s="6"/>
      <c r="X48" s="6"/>
      <c r="Y48" s="8"/>
      <c r="Z48" s="8"/>
      <c r="AA48" s="8"/>
      <c r="AB48" s="620"/>
      <c r="AC48" s="621"/>
      <c r="AD48" s="621"/>
      <c r="AE48" s="621"/>
      <c r="AF48" s="621"/>
      <c r="AG48" s="621"/>
      <c r="AH48" s="621"/>
      <c r="AI48" s="621"/>
      <c r="AJ48" s="621"/>
      <c r="AK48" s="244"/>
      <c r="AL48" s="244"/>
      <c r="AM48" s="244"/>
      <c r="AN48" s="244"/>
      <c r="AO48" s="244"/>
      <c r="AP48" s="244"/>
      <c r="AQ48" s="522"/>
      <c r="AR48" s="634"/>
      <c r="AS48" s="244"/>
      <c r="AT48" s="244"/>
    </row>
    <row r="49" spans="1:46" s="52" customFormat="1" ht="20.100000000000001" customHeight="1" thickBot="1" x14ac:dyDescent="0.35">
      <c r="A49" s="6" t="s">
        <v>135</v>
      </c>
      <c r="B49" s="50"/>
      <c r="C49" s="349"/>
      <c r="D49" s="2"/>
      <c r="E49" s="49"/>
      <c r="F49" s="49"/>
      <c r="G49" s="49"/>
      <c r="H49" s="49"/>
      <c r="I49" s="49"/>
      <c r="J49" s="256"/>
      <c r="K49" s="254"/>
      <c r="L49" s="254"/>
      <c r="M49" s="254"/>
      <c r="O49" s="254"/>
      <c r="P49" s="2"/>
      <c r="Q49" s="2"/>
      <c r="R49" s="2"/>
      <c r="S49" s="2"/>
      <c r="T49" s="2"/>
      <c r="U49" s="2"/>
      <c r="W49" s="59"/>
      <c r="X49" s="59"/>
      <c r="Y49" s="53"/>
      <c r="Z49" s="53"/>
      <c r="AA49" s="53"/>
      <c r="AB49" s="622"/>
      <c r="AC49" s="623"/>
      <c r="AD49" s="623"/>
      <c r="AE49" s="623"/>
      <c r="AF49" s="623"/>
      <c r="AG49" s="623"/>
      <c r="AH49" s="623"/>
      <c r="AI49" s="623"/>
      <c r="AJ49" s="623"/>
      <c r="AK49" s="624"/>
      <c r="AL49" s="624"/>
      <c r="AM49" s="624"/>
      <c r="AN49" s="624"/>
      <c r="AO49" s="624"/>
      <c r="AP49" s="624"/>
      <c r="AQ49" s="625"/>
      <c r="AR49" s="635"/>
      <c r="AS49" s="245"/>
      <c r="AT49" s="245"/>
    </row>
    <row r="50" spans="1:46" s="9" customFormat="1" ht="6" customHeight="1" thickTop="1" x14ac:dyDescent="0.3">
      <c r="A50" s="6"/>
      <c r="B50" s="6"/>
      <c r="C50" s="6"/>
      <c r="D50" s="6"/>
      <c r="E50" s="6"/>
      <c r="F50" s="6"/>
      <c r="G50" s="6"/>
      <c r="H50" s="6"/>
      <c r="I50" s="6"/>
      <c r="J50" s="6"/>
      <c r="K50" s="6"/>
      <c r="L50" s="6"/>
      <c r="M50" s="6"/>
      <c r="O50" s="6"/>
      <c r="P50" s="6"/>
      <c r="Q50" s="6"/>
      <c r="R50" s="6"/>
      <c r="S50" s="6"/>
      <c r="T50" s="6"/>
      <c r="U50" s="6"/>
      <c r="V50" s="6"/>
      <c r="W50" s="6"/>
      <c r="X50" s="6"/>
      <c r="Y50" s="8"/>
      <c r="Z50" s="8"/>
      <c r="AA50" s="8"/>
      <c r="AB50" s="8"/>
      <c r="AC50" s="6"/>
      <c r="AD50" s="6"/>
      <c r="AE50" s="6"/>
      <c r="AF50" s="6"/>
      <c r="AG50" s="6"/>
      <c r="AH50" s="6"/>
      <c r="AI50" s="6"/>
      <c r="AJ50" s="6"/>
      <c r="AK50" s="244"/>
      <c r="AL50" s="244"/>
      <c r="AM50" s="244"/>
      <c r="AN50" s="244"/>
      <c r="AO50" s="244"/>
      <c r="AP50" s="244"/>
      <c r="AQ50" s="244"/>
      <c r="AR50" s="244"/>
      <c r="AS50" s="244"/>
      <c r="AT50" s="244"/>
    </row>
    <row r="51" spans="1:46" s="9" customFormat="1" ht="22.5" customHeight="1" x14ac:dyDescent="0.3">
      <c r="A51" s="6" t="s">
        <v>132</v>
      </c>
      <c r="B51" s="6"/>
      <c r="C51" s="6"/>
      <c r="D51" s="6"/>
      <c r="E51" s="6"/>
      <c r="F51" s="6"/>
      <c r="G51" s="6"/>
      <c r="H51" s="6"/>
      <c r="I51" s="6"/>
      <c r="J51" s="6"/>
      <c r="K51" s="6"/>
      <c r="L51" s="6"/>
      <c r="M51" s="6"/>
      <c r="O51" s="6"/>
      <c r="P51" s="6"/>
      <c r="Q51" s="6"/>
      <c r="R51" s="6"/>
      <c r="S51" s="6"/>
      <c r="T51" s="6"/>
      <c r="U51" s="6"/>
      <c r="V51" s="6"/>
      <c r="W51" s="6"/>
      <c r="X51" s="6"/>
      <c r="Y51" s="8"/>
      <c r="Z51" s="8"/>
      <c r="AA51" s="8"/>
      <c r="AB51" s="8"/>
      <c r="AC51" s="6"/>
      <c r="AD51" s="6"/>
      <c r="AE51" s="6"/>
      <c r="AF51" s="6"/>
      <c r="AG51" s="6"/>
      <c r="AH51" s="6"/>
      <c r="AI51" s="6"/>
      <c r="AJ51" s="6"/>
      <c r="AK51" s="244"/>
      <c r="AL51" s="244"/>
      <c r="AM51" s="244"/>
      <c r="AN51" s="244"/>
      <c r="AO51" s="244"/>
      <c r="AP51" s="244"/>
      <c r="AQ51" s="244"/>
      <c r="AR51" s="244"/>
      <c r="AS51" s="244"/>
      <c r="AT51" s="244"/>
    </row>
    <row r="52" spans="1:46" s="9" customFormat="1" ht="24" customHeight="1" x14ac:dyDescent="0.3">
      <c r="A52" s="6" t="s">
        <v>127</v>
      </c>
      <c r="B52" s="10"/>
      <c r="C52" s="10"/>
      <c r="D52" s="10"/>
      <c r="E52" s="10"/>
      <c r="F52" s="10"/>
      <c r="G52" s="10"/>
      <c r="H52" s="10"/>
      <c r="I52" s="10"/>
      <c r="J52" s="10"/>
      <c r="K52" s="10"/>
      <c r="L52" s="10"/>
      <c r="M52" s="129"/>
      <c r="O52" s="129"/>
      <c r="P52" s="10"/>
      <c r="Q52" s="10"/>
      <c r="R52" s="10"/>
      <c r="S52" s="10"/>
      <c r="T52" s="1120" t="s">
        <v>128</v>
      </c>
      <c r="U52" s="1120"/>
      <c r="V52" s="1120"/>
      <c r="W52" s="46">
        <f>B45*Y52+B45</f>
        <v>0</v>
      </c>
      <c r="X52" s="46"/>
      <c r="Y52" s="626">
        <v>0.33</v>
      </c>
      <c r="AC52" s="507"/>
      <c r="AD52" s="46"/>
      <c r="AE52" s="46"/>
      <c r="AF52" s="46"/>
      <c r="AG52" s="46"/>
      <c r="AH52" s="46"/>
      <c r="AI52" s="46"/>
      <c r="AJ52" s="46"/>
      <c r="AK52" s="244"/>
      <c r="AL52" s="244"/>
      <c r="AM52" s="244"/>
      <c r="AN52" s="244"/>
      <c r="AO52" s="244"/>
      <c r="AP52" s="244"/>
      <c r="AQ52" s="244"/>
      <c r="AR52" s="244"/>
      <c r="AS52" s="244"/>
      <c r="AT52" s="244"/>
    </row>
    <row r="53" spans="1:46" s="9" customFormat="1" ht="16.5" x14ac:dyDescent="0.3">
      <c r="A53" s="10"/>
      <c r="B53" s="10"/>
      <c r="C53" s="10"/>
      <c r="D53" s="81"/>
      <c r="E53" s="10"/>
      <c r="F53" s="10"/>
      <c r="G53" s="10"/>
      <c r="H53" s="10"/>
      <c r="I53" s="10"/>
      <c r="J53" s="10"/>
      <c r="K53" s="10"/>
      <c r="L53" s="10"/>
      <c r="Q53" s="10"/>
      <c r="R53" s="10"/>
      <c r="S53" s="10"/>
      <c r="T53" s="10"/>
      <c r="U53" s="10"/>
      <c r="V53" s="486"/>
      <c r="W53" s="46">
        <f>-W45</f>
        <v>-444074</v>
      </c>
      <c r="X53" s="46"/>
      <c r="AC53" s="46"/>
      <c r="AD53" s="46"/>
      <c r="AE53" s="46"/>
      <c r="AF53" s="46"/>
      <c r="AG53" s="46"/>
      <c r="AH53" s="46"/>
      <c r="AI53" s="46"/>
      <c r="AJ53" s="46"/>
      <c r="AK53" s="244"/>
      <c r="AL53" s="244"/>
      <c r="AM53" s="244"/>
      <c r="AN53" s="244"/>
      <c r="AO53" s="244"/>
      <c r="AP53" s="244"/>
      <c r="AQ53" s="244"/>
      <c r="AR53" s="244"/>
      <c r="AS53" s="244"/>
      <c r="AT53" s="244"/>
    </row>
    <row r="54" spans="1:46" s="9" customFormat="1" ht="20.100000000000001" customHeight="1" x14ac:dyDescent="0.3">
      <c r="A54" s="454"/>
      <c r="B54" s="454"/>
      <c r="C54" s="454"/>
      <c r="D54" s="454"/>
      <c r="E54" s="454"/>
      <c r="F54" s="454"/>
      <c r="G54" s="454"/>
      <c r="H54" s="454"/>
      <c r="I54" s="454"/>
      <c r="J54" s="454"/>
      <c r="K54" s="454"/>
      <c r="L54" s="454"/>
      <c r="M54" s="454"/>
      <c r="N54" s="454"/>
      <c r="O54" s="454"/>
      <c r="P54" s="454"/>
      <c r="Q54" s="454"/>
      <c r="R54" s="454"/>
      <c r="S54" s="454"/>
      <c r="T54" s="1121" t="s">
        <v>129</v>
      </c>
      <c r="U54" s="1121"/>
      <c r="V54" s="659"/>
      <c r="W54" s="306">
        <f>SUM(W52:W53)</f>
        <v>-444074</v>
      </c>
      <c r="X54" s="306"/>
      <c r="Y54" s="249"/>
      <c r="AC54" s="508"/>
      <c r="AD54" s="508"/>
      <c r="AE54" s="508"/>
      <c r="AF54" s="508"/>
      <c r="AG54" s="508"/>
      <c r="AH54" s="508"/>
      <c r="AI54" s="508"/>
      <c r="AJ54" s="508"/>
      <c r="AK54" s="244"/>
      <c r="AL54" s="244"/>
      <c r="AM54" s="244"/>
      <c r="AN54" s="244"/>
      <c r="AO54" s="244"/>
      <c r="AP54" s="244"/>
      <c r="AQ54" s="244"/>
      <c r="AR54" s="244"/>
      <c r="AS54" s="244"/>
      <c r="AT54" s="244"/>
    </row>
    <row r="55" spans="1:46" s="9" customFormat="1" ht="16.5" x14ac:dyDescent="0.3">
      <c r="A55" s="6"/>
      <c r="B55" s="10"/>
      <c r="C55" s="10"/>
      <c r="E55" s="10"/>
      <c r="F55" s="10"/>
      <c r="G55" s="10"/>
      <c r="H55" s="10"/>
      <c r="I55" s="10"/>
      <c r="J55" s="10"/>
      <c r="K55" s="10"/>
      <c r="L55" s="10"/>
      <c r="M55" s="10"/>
      <c r="N55" s="130"/>
      <c r="O55" s="130"/>
      <c r="P55" s="10"/>
      <c r="Q55" s="10"/>
      <c r="R55" s="10"/>
      <c r="S55" s="10"/>
      <c r="T55" s="10"/>
      <c r="U55" s="10"/>
      <c r="V55" s="10"/>
      <c r="W55" s="307"/>
      <c r="X55" s="307"/>
      <c r="AC55" s="307"/>
      <c r="AD55" s="307"/>
      <c r="AE55" s="307"/>
      <c r="AF55" s="307"/>
      <c r="AG55" s="307"/>
      <c r="AH55" s="307"/>
      <c r="AI55" s="307"/>
      <c r="AJ55" s="307"/>
      <c r="AK55" s="244"/>
      <c r="AL55" s="244"/>
      <c r="AM55" s="244"/>
      <c r="AN55" s="244"/>
      <c r="AO55" s="244"/>
      <c r="AP55" s="244"/>
      <c r="AQ55" s="244"/>
      <c r="AR55" s="244"/>
      <c r="AS55" s="244"/>
      <c r="AT55" s="244"/>
    </row>
    <row r="56" spans="1:46" ht="16.5" x14ac:dyDescent="0.3">
      <c r="A56" s="67"/>
      <c r="B56" s="68"/>
      <c r="C56" s="68"/>
      <c r="E56" s="22"/>
      <c r="F56" s="22"/>
      <c r="G56" s="22"/>
      <c r="H56" s="22"/>
      <c r="I56" s="22"/>
      <c r="J56" s="22"/>
      <c r="K56" s="4"/>
      <c r="L56" s="4"/>
      <c r="O56" s="6"/>
      <c r="P56" s="4"/>
      <c r="Q56" s="9"/>
      <c r="R56" s="4"/>
      <c r="S56" s="4"/>
      <c r="T56" s="1122" t="s">
        <v>130</v>
      </c>
      <c r="U56" s="1122"/>
      <c r="V56" s="1122"/>
      <c r="W56" s="46">
        <f>B45*Y52</f>
        <v>0</v>
      </c>
      <c r="X56" s="46"/>
      <c r="AC56" s="46"/>
      <c r="AD56" s="46"/>
      <c r="AE56" s="46"/>
      <c r="AF56" s="46"/>
      <c r="AG56" s="46"/>
      <c r="AH56" s="46"/>
      <c r="AI56" s="46"/>
      <c r="AJ56" s="46"/>
    </row>
    <row r="57" spans="1:46" ht="16.5" x14ac:dyDescent="0.3">
      <c r="A57" s="6"/>
      <c r="B57" s="11"/>
      <c r="C57" s="11"/>
      <c r="D57" s="11"/>
      <c r="E57" s="11"/>
      <c r="F57" s="11"/>
      <c r="G57" s="11"/>
      <c r="H57" s="11"/>
      <c r="I57" s="11"/>
      <c r="J57" s="11"/>
      <c r="K57" s="4"/>
      <c r="L57" s="4"/>
      <c r="O57" s="6"/>
      <c r="P57" s="4"/>
      <c r="Q57" s="4"/>
      <c r="R57" s="4"/>
      <c r="S57" s="4"/>
      <c r="T57" s="4"/>
      <c r="U57" s="4"/>
      <c r="V57" s="4"/>
      <c r="W57" s="308"/>
      <c r="X57" s="308"/>
      <c r="AC57" s="308"/>
      <c r="AD57" s="308"/>
      <c r="AE57" s="308"/>
      <c r="AF57" s="308"/>
      <c r="AG57" s="308"/>
      <c r="AH57" s="308"/>
      <c r="AI57" s="308"/>
      <c r="AJ57" s="308"/>
    </row>
    <row r="58" spans="1:46" ht="16.5" x14ac:dyDescent="0.3">
      <c r="A58" s="12"/>
      <c r="B58" s="11"/>
      <c r="C58" s="11"/>
      <c r="D58" s="11"/>
      <c r="E58" s="11"/>
      <c r="F58" s="11"/>
      <c r="G58" s="11"/>
      <c r="H58" s="11"/>
      <c r="I58" s="11"/>
      <c r="J58" s="11"/>
      <c r="K58" s="4"/>
      <c r="L58" s="4"/>
      <c r="O58" s="250"/>
      <c r="P58" s="4"/>
      <c r="Q58" s="4"/>
      <c r="R58" s="4"/>
      <c r="S58" s="4"/>
      <c r="T58" s="4"/>
      <c r="U58" s="4"/>
      <c r="V58" s="4"/>
      <c r="W58" s="4"/>
      <c r="X58" s="4"/>
      <c r="AC58" s="4"/>
      <c r="AD58" s="4"/>
      <c r="AE58" s="4"/>
      <c r="AF58" s="4"/>
      <c r="AG58" s="4"/>
      <c r="AH58" s="4"/>
      <c r="AI58" s="4"/>
      <c r="AJ58" s="4"/>
    </row>
    <row r="59" spans="1:46" ht="15" x14ac:dyDescent="0.2">
      <c r="A59" s="12"/>
      <c r="B59" s="11"/>
      <c r="C59" s="11"/>
      <c r="D59" s="11"/>
      <c r="E59" s="11"/>
      <c r="F59" s="11"/>
      <c r="G59" s="11"/>
      <c r="H59" s="11"/>
      <c r="I59" s="11"/>
      <c r="J59" s="11"/>
      <c r="K59" s="4"/>
      <c r="L59" s="4"/>
      <c r="O59" s="10"/>
      <c r="P59" s="10"/>
      <c r="Q59" s="10"/>
      <c r="R59" s="10"/>
      <c r="S59" s="10"/>
      <c r="T59" s="4"/>
      <c r="U59" s="4"/>
      <c r="V59" s="4"/>
      <c r="W59" s="4"/>
      <c r="X59" s="4"/>
      <c r="AC59" s="4"/>
      <c r="AD59" s="4"/>
      <c r="AE59" s="4"/>
      <c r="AF59" s="4"/>
      <c r="AG59" s="4"/>
      <c r="AH59" s="4"/>
      <c r="AI59" s="4"/>
      <c r="AJ59" s="4"/>
    </row>
    <row r="60" spans="1:46" ht="15" x14ac:dyDescent="0.2">
      <c r="A60" s="12"/>
      <c r="B60" s="11"/>
      <c r="C60" s="11"/>
      <c r="D60" s="11"/>
      <c r="E60" s="11"/>
      <c r="F60" s="11"/>
      <c r="G60" s="11"/>
      <c r="H60" s="11"/>
      <c r="I60" s="11"/>
      <c r="J60" s="11"/>
      <c r="K60" s="4"/>
      <c r="L60" s="4"/>
      <c r="M60" s="4"/>
      <c r="N60" s="4"/>
      <c r="O60" s="4"/>
      <c r="P60" s="4"/>
      <c r="Q60" s="4"/>
      <c r="R60" s="4"/>
      <c r="S60" s="4"/>
      <c r="T60" s="4"/>
      <c r="U60" s="4"/>
      <c r="V60" s="4"/>
      <c r="W60" s="4"/>
      <c r="X60" s="4"/>
      <c r="AC60" s="4"/>
      <c r="AD60" s="4"/>
      <c r="AE60" s="4"/>
      <c r="AF60" s="4"/>
      <c r="AG60" s="4"/>
      <c r="AH60" s="4"/>
      <c r="AI60" s="4"/>
      <c r="AJ60" s="4"/>
    </row>
    <row r="61" spans="1:46" ht="15" x14ac:dyDescent="0.2">
      <c r="B61" s="1"/>
      <c r="C61" s="1"/>
      <c r="D61" s="1"/>
      <c r="E61" s="1"/>
      <c r="F61" s="1"/>
      <c r="G61" s="1"/>
      <c r="H61" s="1"/>
      <c r="I61" s="1"/>
      <c r="J61" s="1"/>
      <c r="K61" s="4"/>
      <c r="L61" s="4"/>
      <c r="M61" s="4"/>
      <c r="N61" s="4"/>
      <c r="O61" s="4"/>
      <c r="P61" s="4"/>
      <c r="Q61" s="4"/>
      <c r="R61" s="4"/>
      <c r="S61" s="4"/>
      <c r="T61" s="4"/>
      <c r="U61" s="4"/>
      <c r="V61" s="4"/>
      <c r="W61" s="4"/>
      <c r="X61" s="4"/>
      <c r="AC61" s="4"/>
      <c r="AD61" s="4"/>
      <c r="AE61" s="4"/>
      <c r="AF61" s="4"/>
      <c r="AG61" s="4"/>
      <c r="AH61" s="4"/>
      <c r="AI61" s="4"/>
      <c r="AJ61" s="4"/>
    </row>
    <row r="62" spans="1:46" ht="15" x14ac:dyDescent="0.2">
      <c r="B62" s="1"/>
      <c r="C62" s="1"/>
      <c r="D62" s="1"/>
      <c r="E62" s="1"/>
      <c r="F62" s="1"/>
      <c r="G62" s="1"/>
      <c r="H62" s="1"/>
      <c r="I62" s="1"/>
      <c r="J62" s="1"/>
      <c r="K62" s="4"/>
      <c r="L62" s="4"/>
      <c r="M62" s="4"/>
      <c r="N62" s="4"/>
      <c r="O62" s="4"/>
      <c r="P62" s="4"/>
      <c r="Q62" s="4"/>
      <c r="R62" s="4"/>
      <c r="S62" s="4"/>
      <c r="T62" s="4"/>
      <c r="U62" s="4"/>
      <c r="V62" s="4"/>
      <c r="W62" s="4"/>
      <c r="X62" s="4"/>
      <c r="AC62" s="4"/>
      <c r="AD62" s="4"/>
      <c r="AE62" s="4"/>
      <c r="AF62" s="4"/>
      <c r="AG62" s="4"/>
      <c r="AH62" s="4"/>
      <c r="AI62" s="4"/>
      <c r="AJ62" s="4"/>
    </row>
    <row r="63" spans="1:46" ht="16.5" x14ac:dyDescent="0.3">
      <c r="B63" s="1"/>
      <c r="C63" s="1"/>
      <c r="D63" s="1"/>
      <c r="E63" s="1"/>
      <c r="F63" s="1"/>
      <c r="G63" s="1"/>
      <c r="H63" s="1"/>
      <c r="I63" s="1"/>
      <c r="J63" s="1"/>
      <c r="K63" s="4"/>
      <c r="L63" s="4"/>
      <c r="M63" s="4"/>
      <c r="N63" s="4"/>
      <c r="O63" s="4"/>
      <c r="P63" s="4"/>
      <c r="Q63" s="4"/>
      <c r="R63" s="4"/>
      <c r="S63" s="4"/>
      <c r="T63" s="4"/>
      <c r="U63" s="4"/>
      <c r="V63" s="4"/>
      <c r="W63" s="46"/>
      <c r="X63" s="4"/>
      <c r="AC63" s="4"/>
      <c r="AD63" s="4"/>
      <c r="AE63" s="4"/>
      <c r="AF63" s="4"/>
      <c r="AG63" s="4"/>
      <c r="AH63" s="4"/>
      <c r="AI63" s="4"/>
      <c r="AJ63" s="4"/>
    </row>
    <row r="79" spans="5:5" x14ac:dyDescent="0.2">
      <c r="E79" s="23"/>
    </row>
  </sheetData>
  <mergeCells count="26">
    <mergeCell ref="AK8:AO8"/>
    <mergeCell ref="AK9:AL9"/>
    <mergeCell ref="G10:H10"/>
    <mergeCell ref="Y10:Z11"/>
    <mergeCell ref="AK10:AL11"/>
    <mergeCell ref="AN10:AO11"/>
    <mergeCell ref="AK6:AL6"/>
    <mergeCell ref="E7:J7"/>
    <mergeCell ref="K7:N7"/>
    <mergeCell ref="P7:V7"/>
    <mergeCell ref="AC7:AH7"/>
    <mergeCell ref="T52:V52"/>
    <mergeCell ref="T54:U54"/>
    <mergeCell ref="T56:V56"/>
    <mergeCell ref="A1:AI1"/>
    <mergeCell ref="A2:AI2"/>
    <mergeCell ref="A3:AI3"/>
    <mergeCell ref="A4:AI4"/>
    <mergeCell ref="C6:C7"/>
    <mergeCell ref="E6:N6"/>
    <mergeCell ref="AC8:AG8"/>
    <mergeCell ref="B8:C8"/>
    <mergeCell ref="E8:I8"/>
    <mergeCell ref="K8:M8"/>
    <mergeCell ref="P8:U8"/>
    <mergeCell ref="Y8:Z8"/>
  </mergeCells>
  <printOptions horizontalCentered="1" verticalCentered="1" headings="1"/>
  <pageMargins left="0.25" right="0.25" top="0.75" bottom="0.75" header="0.3" footer="0.3"/>
  <pageSetup paperSize="5" scale="48" orientation="landscape" r:id="rId1"/>
  <headerFooter scaleWithDoc="0">
    <oddHeader>&amp;C&amp;"Times New Roman,Bold"&amp;12                                                                            &amp;11        &amp;12                                                                            &amp;R&amp;"Times New Roman,Regular"&amp;12Deliverable #4a</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BD78"/>
  <sheetViews>
    <sheetView view="pageLayout" topLeftCell="A4" zoomScale="70" zoomScaleNormal="80" zoomScalePageLayoutView="70" workbookViewId="0">
      <selection activeCell="E23" sqref="E23"/>
    </sheetView>
  </sheetViews>
  <sheetFormatPr defaultRowHeight="12.75" x14ac:dyDescent="0.2"/>
  <cols>
    <col min="1" max="1" width="25.42578125" customWidth="1"/>
    <col min="2" max="2" width="10.28515625" bestFit="1" customWidth="1"/>
    <col min="3" max="3" width="11.140625" hidden="1" customWidth="1"/>
    <col min="4" max="4" width="10.28515625" customWidth="1"/>
    <col min="5" max="5" width="6.7109375" customWidth="1"/>
    <col min="6" max="6" width="7.28515625" customWidth="1"/>
    <col min="7" max="8" width="7.28515625" bestFit="1" customWidth="1"/>
    <col min="9" max="9" width="9.28515625" bestFit="1" customWidth="1"/>
    <col min="10" max="10" width="9.28515625" customWidth="1"/>
    <col min="11" max="11" width="8.140625" bestFit="1" customWidth="1"/>
    <col min="12" max="12" width="8.140625" customWidth="1"/>
    <col min="13" max="13" width="10.42578125" bestFit="1" customWidth="1"/>
    <col min="14" max="14" width="10" bestFit="1" customWidth="1"/>
    <col min="15" max="15" width="10.42578125" customWidth="1"/>
    <col min="16" max="21" width="8.5703125" customWidth="1"/>
    <col min="22" max="22" width="8.42578125" customWidth="1"/>
    <col min="23" max="23" width="14.140625" customWidth="1"/>
    <col min="24" max="24" width="1.28515625" customWidth="1"/>
    <col min="25" max="25" width="9.7109375" customWidth="1"/>
    <col min="26" max="26" width="6.42578125" customWidth="1"/>
    <col min="27" max="28" width="1.140625" customWidth="1"/>
    <col min="29" max="29" width="8" customWidth="1"/>
    <col min="30" max="31" width="8.140625" customWidth="1"/>
    <col min="32" max="32" width="8.28515625" customWidth="1"/>
    <col min="33" max="33" width="9.85546875" customWidth="1"/>
    <col min="34" max="34" width="11.85546875" customWidth="1"/>
    <col min="35" max="35" width="1.140625" customWidth="1"/>
    <col min="36" max="36" width="9.28515625" style="236" customWidth="1"/>
    <col min="37" max="37" width="5.85546875" style="236" customWidth="1"/>
    <col min="38" max="38" width="0.7109375" style="236" customWidth="1"/>
    <col min="39" max="39" width="6.7109375" style="236" customWidth="1"/>
    <col min="40" max="40" width="6.42578125" style="236" customWidth="1"/>
    <col min="41" max="41" width="5.7109375" style="236" hidden="1" customWidth="1"/>
    <col min="42" max="42" width="3.7109375" style="236" customWidth="1"/>
    <col min="43" max="43" width="4.5703125" style="236" customWidth="1"/>
    <col min="44" max="45" width="9.140625" style="236" customWidth="1"/>
    <col min="56" max="56" width="13.42578125" customWidth="1"/>
  </cols>
  <sheetData>
    <row r="1" spans="1:56" ht="18.75" x14ac:dyDescent="0.3">
      <c r="A1" s="1034" t="s">
        <v>25</v>
      </c>
      <c r="B1" s="1034"/>
      <c r="C1" s="1034"/>
      <c r="D1" s="1034"/>
      <c r="E1" s="1034"/>
      <c r="F1" s="1034"/>
      <c r="G1" s="1034"/>
      <c r="H1" s="1034"/>
      <c r="I1" s="1034"/>
      <c r="J1" s="1034"/>
      <c r="K1" s="1034"/>
      <c r="L1" s="1034"/>
      <c r="M1" s="1034"/>
      <c r="N1" s="1034"/>
      <c r="O1" s="1034"/>
      <c r="P1" s="1034"/>
      <c r="Q1" s="1034"/>
      <c r="R1" s="1034"/>
      <c r="S1" s="1034"/>
      <c r="T1" s="1034"/>
      <c r="U1" s="1034"/>
      <c r="V1" s="1034"/>
      <c r="W1" s="1034"/>
      <c r="X1" s="1034"/>
      <c r="Y1" s="1034"/>
      <c r="Z1" s="1034"/>
      <c r="AA1" s="1034"/>
      <c r="AB1" s="1034"/>
      <c r="AC1" s="1034"/>
      <c r="AD1" s="1034"/>
      <c r="AE1" s="1034"/>
      <c r="AF1" s="1034"/>
      <c r="AG1" s="1034"/>
      <c r="AH1" s="1034"/>
      <c r="AI1" s="380"/>
    </row>
    <row r="2" spans="1:56" ht="18.75" x14ac:dyDescent="0.3">
      <c r="A2" s="1042" t="s">
        <v>118</v>
      </c>
      <c r="B2" s="1042"/>
      <c r="C2" s="1042"/>
      <c r="D2" s="1042"/>
      <c r="E2" s="1042"/>
      <c r="F2" s="1042"/>
      <c r="G2" s="1042"/>
      <c r="H2" s="1042"/>
      <c r="I2" s="1042"/>
      <c r="J2" s="1042"/>
      <c r="K2" s="1042"/>
      <c r="L2" s="1042"/>
      <c r="M2" s="1042"/>
      <c r="N2" s="1042"/>
      <c r="O2" s="1042"/>
      <c r="P2" s="1042"/>
      <c r="Q2" s="1042"/>
      <c r="R2" s="1042"/>
      <c r="S2" s="1042"/>
      <c r="T2" s="1042"/>
      <c r="U2" s="1042"/>
      <c r="V2" s="1042"/>
      <c r="W2" s="1042"/>
      <c r="X2" s="1042"/>
      <c r="Y2" s="1042"/>
      <c r="Z2" s="1042"/>
      <c r="AA2" s="1042"/>
      <c r="AB2" s="1042"/>
      <c r="AC2" s="1042"/>
      <c r="AD2" s="1042"/>
      <c r="AE2" s="1042"/>
      <c r="AF2" s="1042"/>
      <c r="AG2" s="1042"/>
      <c r="AH2" s="1042"/>
      <c r="AI2" s="382"/>
    </row>
    <row r="3" spans="1:56" ht="18.75" x14ac:dyDescent="0.3">
      <c r="A3" s="1034" t="s">
        <v>103</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487"/>
    </row>
    <row r="4" spans="1:56" ht="15.75" customHeight="1" thickBot="1" x14ac:dyDescent="0.25">
      <c r="A4" s="1036" t="s">
        <v>39</v>
      </c>
      <c r="B4" s="1036"/>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381"/>
    </row>
    <row r="5" spans="1:56" ht="15.75" customHeight="1" thickTop="1" x14ac:dyDescent="0.2">
      <c r="A5" s="381"/>
      <c r="B5" s="381"/>
      <c r="C5" s="381"/>
      <c r="D5" s="381"/>
      <c r="E5" s="381"/>
      <c r="F5" s="381"/>
      <c r="G5" s="381"/>
      <c r="H5" s="381"/>
      <c r="I5" s="381"/>
      <c r="J5" s="381"/>
      <c r="K5" s="381"/>
      <c r="L5" s="381"/>
      <c r="M5" s="381"/>
      <c r="N5" s="381"/>
      <c r="O5" s="381"/>
      <c r="P5" s="381"/>
      <c r="Q5" s="381"/>
      <c r="R5" s="381"/>
      <c r="S5" s="381"/>
      <c r="T5" s="381"/>
      <c r="U5" s="381"/>
      <c r="V5" s="381"/>
      <c r="W5" s="381"/>
      <c r="X5" s="381"/>
      <c r="AB5" s="602"/>
      <c r="AC5" s="603"/>
      <c r="AD5" s="603"/>
      <c r="AE5" s="603"/>
      <c r="AF5" s="603"/>
      <c r="AG5" s="603"/>
      <c r="AH5" s="603"/>
      <c r="AI5" s="603"/>
      <c r="AJ5" s="604"/>
      <c r="AK5" s="604"/>
      <c r="AL5" s="604"/>
      <c r="AM5" s="604"/>
      <c r="AN5" s="604"/>
      <c r="AO5" s="604"/>
      <c r="AP5" s="605"/>
      <c r="AQ5" s="606"/>
    </row>
    <row r="6" spans="1:56" ht="20.100000000000001" customHeight="1" thickBot="1" x14ac:dyDescent="0.35">
      <c r="A6" s="79"/>
      <c r="B6" s="79"/>
      <c r="C6" s="1134" t="s">
        <v>114</v>
      </c>
      <c r="D6" s="225"/>
      <c r="E6" s="1089"/>
      <c r="F6" s="1090"/>
      <c r="G6" s="1090"/>
      <c r="H6" s="1090"/>
      <c r="I6" s="1090"/>
      <c r="J6" s="1090"/>
      <c r="K6" s="1090"/>
      <c r="L6" s="1090"/>
      <c r="M6" s="1090"/>
      <c r="N6" s="1090"/>
      <c r="O6" s="226"/>
      <c r="P6" s="265"/>
      <c r="Q6" s="265"/>
      <c r="R6" s="265"/>
      <c r="S6" s="265"/>
      <c r="T6" s="265"/>
      <c r="U6" s="265"/>
      <c r="V6" s="265"/>
      <c r="W6" s="253"/>
      <c r="X6" s="253"/>
      <c r="Y6" s="236"/>
      <c r="Z6" s="236"/>
      <c r="AA6" s="236"/>
      <c r="AB6" s="606"/>
      <c r="AC6" s="514"/>
      <c r="AD6" s="514"/>
      <c r="AE6" s="514"/>
      <c r="AF6" s="514"/>
      <c r="AG6" s="514"/>
      <c r="AH6" s="514"/>
      <c r="AI6" s="514"/>
      <c r="AJ6" s="1110"/>
      <c r="AK6" s="1110"/>
      <c r="AL6" s="488"/>
      <c r="AM6" s="251"/>
      <c r="AN6" s="251"/>
      <c r="AO6" s="225"/>
      <c r="AP6" s="627"/>
      <c r="AQ6" s="628"/>
    </row>
    <row r="7" spans="1:56" ht="20.100000000000001" customHeight="1" thickBot="1" x14ac:dyDescent="0.3">
      <c r="A7" s="229"/>
      <c r="B7" s="230"/>
      <c r="C7" s="1135"/>
      <c r="D7" s="230"/>
      <c r="E7" s="1111" t="s">
        <v>87</v>
      </c>
      <c r="F7" s="1112"/>
      <c r="G7" s="1112"/>
      <c r="H7" s="1112"/>
      <c r="I7" s="1112"/>
      <c r="J7" s="1113"/>
      <c r="K7" s="1111" t="s">
        <v>80</v>
      </c>
      <c r="L7" s="1112"/>
      <c r="M7" s="1112"/>
      <c r="N7" s="1113"/>
      <c r="O7" s="248"/>
      <c r="P7" s="1114" t="s">
        <v>106</v>
      </c>
      <c r="Q7" s="1115"/>
      <c r="R7" s="1115"/>
      <c r="S7" s="1115"/>
      <c r="T7" s="1115"/>
      <c r="U7" s="1115"/>
      <c r="V7" s="1116"/>
      <c r="W7" s="228"/>
      <c r="X7" s="228"/>
      <c r="Y7" s="236"/>
      <c r="Z7" s="236"/>
      <c r="AA7" s="236"/>
      <c r="AB7" s="606"/>
      <c r="AC7" s="1117" t="s">
        <v>121</v>
      </c>
      <c r="AD7" s="1118"/>
      <c r="AE7" s="1118"/>
      <c r="AF7" s="1118"/>
      <c r="AG7" s="1119"/>
      <c r="AH7" s="575"/>
      <c r="AI7" s="575"/>
      <c r="AJ7" s="239"/>
      <c r="AK7" s="239"/>
      <c r="AL7" s="239"/>
      <c r="AM7" s="240"/>
      <c r="AN7" s="240"/>
      <c r="AO7" s="239"/>
      <c r="AP7" s="607"/>
      <c r="AQ7" s="629"/>
    </row>
    <row r="8" spans="1:56" ht="15.75" customHeight="1" x14ac:dyDescent="0.3">
      <c r="A8" s="232"/>
      <c r="B8" s="1132" t="s">
        <v>75</v>
      </c>
      <c r="C8" s="1133"/>
      <c r="D8" s="478" t="s">
        <v>102</v>
      </c>
      <c r="E8" s="1093" t="s">
        <v>78</v>
      </c>
      <c r="F8" s="1039"/>
      <c r="G8" s="1039"/>
      <c r="H8" s="1039"/>
      <c r="I8" s="1039"/>
      <c r="J8" s="69"/>
      <c r="K8" s="1093" t="s">
        <v>78</v>
      </c>
      <c r="L8" s="1039"/>
      <c r="M8" s="1039"/>
      <c r="N8" s="246"/>
      <c r="O8" s="428" t="s">
        <v>54</v>
      </c>
      <c r="P8" s="1093"/>
      <c r="Q8" s="1039"/>
      <c r="R8" s="1039"/>
      <c r="S8" s="1039"/>
      <c r="T8" s="1039"/>
      <c r="U8" s="1039"/>
      <c r="V8" s="440"/>
      <c r="W8" s="411"/>
      <c r="X8" s="523"/>
      <c r="Y8" s="1094" t="s">
        <v>100</v>
      </c>
      <c r="Z8" s="1095"/>
      <c r="AA8" s="569"/>
      <c r="AB8" s="608"/>
      <c r="AC8" s="1123"/>
      <c r="AD8" s="1124"/>
      <c r="AE8" s="1124"/>
      <c r="AF8" s="1126"/>
      <c r="AG8" s="490"/>
      <c r="AH8" s="636" t="s">
        <v>119</v>
      </c>
      <c r="AI8" s="492"/>
      <c r="AJ8" s="1127" t="s">
        <v>100</v>
      </c>
      <c r="AK8" s="1128"/>
      <c r="AL8" s="1128"/>
      <c r="AM8" s="1128"/>
      <c r="AN8" s="1129"/>
      <c r="AP8" s="531"/>
      <c r="AQ8" s="606"/>
    </row>
    <row r="9" spans="1:56" s="23" customFormat="1" ht="15.75" customHeight="1" x14ac:dyDescent="0.25">
      <c r="A9" s="55"/>
      <c r="B9" s="459"/>
      <c r="C9" s="378" t="s">
        <v>52</v>
      </c>
      <c r="D9" s="458"/>
      <c r="E9" s="119"/>
      <c r="F9" s="119"/>
      <c r="G9" s="300"/>
      <c r="H9" s="301"/>
      <c r="I9" s="299"/>
      <c r="J9" s="70"/>
      <c r="K9" s="120" t="s">
        <v>90</v>
      </c>
      <c r="L9" s="316" t="s">
        <v>94</v>
      </c>
      <c r="M9" s="312" t="s">
        <v>96</v>
      </c>
      <c r="N9" s="247"/>
      <c r="O9" s="429" t="s">
        <v>81</v>
      </c>
      <c r="P9" s="328"/>
      <c r="Q9" s="328"/>
      <c r="R9" s="328"/>
      <c r="S9" s="328"/>
      <c r="T9" s="329"/>
      <c r="U9" s="328"/>
      <c r="V9" s="441"/>
      <c r="W9" s="412" t="s">
        <v>110</v>
      </c>
      <c r="X9" s="523"/>
      <c r="Y9" s="37"/>
      <c r="Z9" s="119"/>
      <c r="AA9" s="570"/>
      <c r="AB9" s="609"/>
      <c r="AC9" s="582"/>
      <c r="AD9" s="564"/>
      <c r="AE9" s="564"/>
      <c r="AF9" s="583"/>
      <c r="AG9" s="491"/>
      <c r="AH9" s="637" t="s">
        <v>110</v>
      </c>
      <c r="AI9" s="493"/>
      <c r="AJ9" s="1130"/>
      <c r="AK9" s="1131"/>
      <c r="AL9" s="549"/>
      <c r="AM9" s="529"/>
      <c r="AN9" s="576"/>
      <c r="AO9" s="227"/>
      <c r="AP9" s="610"/>
      <c r="AQ9" s="630"/>
      <c r="AR9" s="234"/>
      <c r="AS9" s="241"/>
    </row>
    <row r="10" spans="1:56" ht="15.75" customHeight="1" x14ac:dyDescent="0.25">
      <c r="A10" s="14"/>
      <c r="B10" s="460"/>
      <c r="C10" s="379" t="s">
        <v>58</v>
      </c>
      <c r="D10" s="464"/>
      <c r="E10" s="120" t="s">
        <v>41</v>
      </c>
      <c r="F10" s="120" t="s">
        <v>60</v>
      </c>
      <c r="G10" s="1096" t="s">
        <v>34</v>
      </c>
      <c r="H10" s="1097"/>
      <c r="I10" s="36"/>
      <c r="J10" s="71" t="s">
        <v>54</v>
      </c>
      <c r="K10" s="120" t="s">
        <v>91</v>
      </c>
      <c r="L10" s="317" t="s">
        <v>95</v>
      </c>
      <c r="M10" s="311" t="s">
        <v>92</v>
      </c>
      <c r="N10" s="234" t="s">
        <v>76</v>
      </c>
      <c r="O10" s="430" t="s">
        <v>76</v>
      </c>
      <c r="P10" s="398"/>
      <c r="Q10" s="120"/>
      <c r="R10" s="317"/>
      <c r="S10" s="120"/>
      <c r="T10" s="317"/>
      <c r="U10" s="327"/>
      <c r="V10" s="430" t="s">
        <v>56</v>
      </c>
      <c r="W10" s="412" t="s">
        <v>47</v>
      </c>
      <c r="X10" s="523"/>
      <c r="Y10" s="1098" t="s">
        <v>112</v>
      </c>
      <c r="Z10" s="1099"/>
      <c r="AA10" s="571"/>
      <c r="AB10" s="611"/>
      <c r="AC10" s="584"/>
      <c r="AD10" s="565"/>
      <c r="AE10" s="565"/>
      <c r="AF10" s="585"/>
      <c r="AG10" s="509" t="s">
        <v>115</v>
      </c>
      <c r="AH10" s="637" t="s">
        <v>47</v>
      </c>
      <c r="AI10" s="493"/>
      <c r="AJ10" s="1102" t="s">
        <v>117</v>
      </c>
      <c r="AK10" s="1103"/>
      <c r="AL10" s="541"/>
      <c r="AM10" s="1106" t="s">
        <v>120</v>
      </c>
      <c r="AN10" s="1107"/>
      <c r="AO10" s="120"/>
      <c r="AP10" s="612"/>
      <c r="AQ10" s="631"/>
      <c r="AR10" s="234"/>
    </row>
    <row r="11" spans="1:56" ht="16.5" customHeight="1" x14ac:dyDescent="0.25">
      <c r="A11" s="14"/>
      <c r="B11" s="479" t="s">
        <v>40</v>
      </c>
      <c r="C11" s="379" t="s">
        <v>105</v>
      </c>
      <c r="D11" s="481" t="s">
        <v>45</v>
      </c>
      <c r="E11" s="126" t="s">
        <v>26</v>
      </c>
      <c r="F11" s="126" t="s">
        <v>26</v>
      </c>
      <c r="G11" s="141" t="s">
        <v>57</v>
      </c>
      <c r="H11" s="322"/>
      <c r="I11" s="323" t="s">
        <v>35</v>
      </c>
      <c r="J11" s="71" t="s">
        <v>44</v>
      </c>
      <c r="K11" s="255" t="s">
        <v>92</v>
      </c>
      <c r="L11" s="318" t="s">
        <v>71</v>
      </c>
      <c r="M11" s="311" t="s">
        <v>97</v>
      </c>
      <c r="N11" s="234" t="s">
        <v>77</v>
      </c>
      <c r="O11" s="430" t="s">
        <v>82</v>
      </c>
      <c r="P11" s="399"/>
      <c r="Q11" s="397"/>
      <c r="R11" s="325"/>
      <c r="S11" s="325"/>
      <c r="T11" s="325"/>
      <c r="U11" s="325"/>
      <c r="V11" s="430" t="s">
        <v>86</v>
      </c>
      <c r="W11" s="413" t="s">
        <v>43</v>
      </c>
      <c r="X11" s="523"/>
      <c r="Y11" s="1100"/>
      <c r="Z11" s="1101"/>
      <c r="AA11" s="571"/>
      <c r="AB11" s="611"/>
      <c r="AC11" s="586"/>
      <c r="AD11" s="566"/>
      <c r="AE11" s="566"/>
      <c r="AF11" s="587"/>
      <c r="AG11" s="509" t="s">
        <v>116</v>
      </c>
      <c r="AH11" s="637" t="s">
        <v>43</v>
      </c>
      <c r="AI11" s="493"/>
      <c r="AJ11" s="1104"/>
      <c r="AK11" s="1105"/>
      <c r="AL11" s="541"/>
      <c r="AM11" s="1108"/>
      <c r="AN11" s="1109"/>
      <c r="AO11" s="120"/>
      <c r="AP11" s="612"/>
      <c r="AQ11" s="631"/>
      <c r="AR11" s="234"/>
    </row>
    <row r="12" spans="1:56" ht="18" customHeight="1" thickBot="1" x14ac:dyDescent="0.3">
      <c r="A12" s="15" t="s">
        <v>0</v>
      </c>
      <c r="B12" s="480" t="s">
        <v>85</v>
      </c>
      <c r="C12" s="65" t="s">
        <v>74</v>
      </c>
      <c r="D12" s="482" t="s">
        <v>46</v>
      </c>
      <c r="E12" s="255" t="s">
        <v>61</v>
      </c>
      <c r="F12" s="140"/>
      <c r="G12" s="143" t="s">
        <v>49</v>
      </c>
      <c r="H12" s="321" t="s">
        <v>49</v>
      </c>
      <c r="I12" s="324" t="s">
        <v>36</v>
      </c>
      <c r="J12" s="72" t="s">
        <v>27</v>
      </c>
      <c r="K12" s="275" t="s">
        <v>93</v>
      </c>
      <c r="L12" s="291" t="s">
        <v>98</v>
      </c>
      <c r="M12" s="313" t="s">
        <v>93</v>
      </c>
      <c r="N12" s="235" t="s">
        <v>27</v>
      </c>
      <c r="O12" s="431" t="s">
        <v>68</v>
      </c>
      <c r="P12" s="400"/>
      <c r="Q12" s="275"/>
      <c r="R12" s="291"/>
      <c r="S12" s="275"/>
      <c r="T12" s="291"/>
      <c r="U12" s="275"/>
      <c r="V12" s="431" t="s">
        <v>27</v>
      </c>
      <c r="W12" s="414" t="s">
        <v>83</v>
      </c>
      <c r="X12" s="523"/>
      <c r="Y12" s="34" t="s">
        <v>28</v>
      </c>
      <c r="Z12" s="515" t="s">
        <v>29</v>
      </c>
      <c r="AA12" s="493"/>
      <c r="AB12" s="613"/>
      <c r="AC12" s="588"/>
      <c r="AD12" s="567"/>
      <c r="AE12" s="567"/>
      <c r="AF12" s="589"/>
      <c r="AG12" s="510" t="s">
        <v>27</v>
      </c>
      <c r="AH12" s="638" t="s">
        <v>68</v>
      </c>
      <c r="AI12" s="493"/>
      <c r="AJ12" s="34" t="s">
        <v>28</v>
      </c>
      <c r="AK12" s="515" t="s">
        <v>29</v>
      </c>
      <c r="AL12" s="542"/>
      <c r="AM12" s="545" t="s">
        <v>28</v>
      </c>
      <c r="AN12" s="577" t="s">
        <v>29</v>
      </c>
      <c r="AO12" s="120"/>
      <c r="AP12" s="612"/>
      <c r="AQ12" s="631"/>
      <c r="AR12" s="234"/>
    </row>
    <row r="13" spans="1:56" ht="15.75" x14ac:dyDescent="0.25">
      <c r="A13" s="3" t="s">
        <v>17</v>
      </c>
      <c r="B13" s="461"/>
      <c r="C13" s="373"/>
      <c r="D13" s="466"/>
      <c r="E13" s="270"/>
      <c r="F13" s="273"/>
      <c r="G13" s="270"/>
      <c r="H13" s="137"/>
      <c r="I13" s="274"/>
      <c r="J13" s="73"/>
      <c r="K13" s="236"/>
      <c r="L13" s="292"/>
      <c r="M13" s="36"/>
      <c r="N13" s="236"/>
      <c r="O13" s="432"/>
      <c r="P13" s="285"/>
      <c r="Q13" s="236"/>
      <c r="R13" s="292"/>
      <c r="S13" s="236"/>
      <c r="T13" s="292"/>
      <c r="U13" s="236"/>
      <c r="V13" s="432"/>
      <c r="W13" s="415"/>
      <c r="X13" s="524"/>
      <c r="Y13" s="389"/>
      <c r="Z13" s="236"/>
      <c r="AA13" s="494"/>
      <c r="AB13" s="614"/>
      <c r="AC13" s="590"/>
      <c r="AD13" s="489"/>
      <c r="AE13" s="489"/>
      <c r="AF13" s="591"/>
      <c r="AG13" s="551"/>
      <c r="AH13" s="552"/>
      <c r="AI13" s="494"/>
      <c r="AJ13" s="498"/>
      <c r="AK13" s="530"/>
      <c r="AL13" s="543"/>
      <c r="AN13" s="36"/>
      <c r="AP13" s="531"/>
      <c r="AQ13" s="606"/>
    </row>
    <row r="14" spans="1:56" ht="16.5" x14ac:dyDescent="0.3">
      <c r="A14" s="263" t="s">
        <v>1</v>
      </c>
      <c r="B14" s="421">
        <v>1857225</v>
      </c>
      <c r="C14" s="39">
        <v>0</v>
      </c>
      <c r="D14" s="467">
        <v>1979998</v>
      </c>
      <c r="E14" s="207">
        <v>5050</v>
      </c>
      <c r="F14" s="58">
        <v>7777</v>
      </c>
      <c r="G14" s="207">
        <v>2317</v>
      </c>
      <c r="H14" s="58">
        <v>21358</v>
      </c>
      <c r="I14" s="217">
        <v>33525</v>
      </c>
      <c r="J14" s="74">
        <f>SUM(E14:I14)</f>
        <v>70027</v>
      </c>
      <c r="K14" s="267">
        <v>75000</v>
      </c>
      <c r="L14" s="319">
        <v>0</v>
      </c>
      <c r="M14" s="314">
        <v>0</v>
      </c>
      <c r="N14" s="237">
        <f>SUM(K14:M14)</f>
        <v>75000</v>
      </c>
      <c r="O14" s="433">
        <f>+J14+N14</f>
        <v>145027</v>
      </c>
      <c r="P14" s="286">
        <v>0</v>
      </c>
      <c r="Q14" s="58">
        <v>0</v>
      </c>
      <c r="R14" s="293">
        <v>0</v>
      </c>
      <c r="S14" s="58">
        <v>0</v>
      </c>
      <c r="T14" s="293">
        <v>0</v>
      </c>
      <c r="U14" s="58">
        <v>0</v>
      </c>
      <c r="V14" s="425">
        <f>SUM(P14:U14)</f>
        <v>0</v>
      </c>
      <c r="W14" s="416">
        <f>+B14+O14+V14</f>
        <v>2002252</v>
      </c>
      <c r="X14" s="525"/>
      <c r="Y14" s="390">
        <f>W14-B14</f>
        <v>145027</v>
      </c>
      <c r="Z14" s="516">
        <f t="shared" ref="Z14:Z25" si="0">IF(B14=0,0,Y14/B14)</f>
        <v>7.8088007645815666E-2</v>
      </c>
      <c r="AA14" s="572"/>
      <c r="AB14" s="615"/>
      <c r="AC14" s="592">
        <v>0</v>
      </c>
      <c r="AD14" s="511">
        <v>0</v>
      </c>
      <c r="AE14" s="511">
        <v>0</v>
      </c>
      <c r="AF14" s="593">
        <v>0</v>
      </c>
      <c r="AG14" s="553">
        <f>SUM(AC14:AF14)</f>
        <v>0</v>
      </c>
      <c r="AH14" s="554">
        <f>SUM(W14+AG14)</f>
        <v>2002252</v>
      </c>
      <c r="AI14" s="495"/>
      <c r="AJ14" s="499">
        <f>AH14-B14</f>
        <v>145027</v>
      </c>
      <c r="AK14" s="532">
        <f t="shared" ref="AK14:AK23" si="1">IF(B14=0,0,AJ14/B14)</f>
        <v>7.8088007645815666E-2</v>
      </c>
      <c r="AL14" s="544"/>
      <c r="AM14" s="124">
        <f>AH14-W14</f>
        <v>0</v>
      </c>
      <c r="AN14" s="127">
        <f t="shared" ref="AN14:AN25" si="2">IF(W14=0,0,AM14/W14)</f>
        <v>0</v>
      </c>
      <c r="AO14" s="207"/>
      <c r="AP14" s="616"/>
      <c r="AQ14" s="632"/>
      <c r="AR14" s="207"/>
      <c r="AZ14" s="207">
        <f>+AY14-AX14</f>
        <v>0</v>
      </c>
      <c r="BD14" s="95">
        <v>314221804</v>
      </c>
    </row>
    <row r="15" spans="1:56" ht="15.75" customHeight="1" x14ac:dyDescent="0.3">
      <c r="A15" s="263" t="s">
        <v>2</v>
      </c>
      <c r="B15" s="421">
        <v>178286</v>
      </c>
      <c r="C15" s="39">
        <v>0</v>
      </c>
      <c r="D15" s="467">
        <v>186829</v>
      </c>
      <c r="E15" s="207">
        <v>678</v>
      </c>
      <c r="F15" s="58">
        <v>722</v>
      </c>
      <c r="G15" s="207">
        <v>53</v>
      </c>
      <c r="H15" s="58">
        <v>1816</v>
      </c>
      <c r="I15" s="217">
        <v>3162</v>
      </c>
      <c r="J15" s="74">
        <f>SUM(E15:I15)</f>
        <v>6431</v>
      </c>
      <c r="K15" s="267">
        <v>0</v>
      </c>
      <c r="L15" s="319">
        <v>0</v>
      </c>
      <c r="M15" s="217">
        <v>0</v>
      </c>
      <c r="N15" s="237">
        <f>SUM(K15:M15)</f>
        <v>0</v>
      </c>
      <c r="O15" s="433">
        <f>+J15+N15</f>
        <v>6431</v>
      </c>
      <c r="P15" s="286">
        <v>0</v>
      </c>
      <c r="Q15" s="58">
        <v>0</v>
      </c>
      <c r="R15" s="293">
        <v>0</v>
      </c>
      <c r="S15" s="58">
        <v>0</v>
      </c>
      <c r="T15" s="293">
        <v>0</v>
      </c>
      <c r="U15" s="58">
        <v>0</v>
      </c>
      <c r="V15" s="425">
        <f>SUM(P15:U15)</f>
        <v>0</v>
      </c>
      <c r="W15" s="416">
        <f>+B15+O15+V15</f>
        <v>184717</v>
      </c>
      <c r="X15" s="525"/>
      <c r="Y15" s="390">
        <f>W15-B15</f>
        <v>6431</v>
      </c>
      <c r="Z15" s="516">
        <f t="shared" si="0"/>
        <v>3.6071256296063628E-2</v>
      </c>
      <c r="AA15" s="572"/>
      <c r="AB15" s="615"/>
      <c r="AC15" s="592">
        <v>0</v>
      </c>
      <c r="AD15" s="511">
        <v>0</v>
      </c>
      <c r="AE15" s="511">
        <v>0</v>
      </c>
      <c r="AF15" s="593">
        <v>0</v>
      </c>
      <c r="AG15" s="553">
        <f>SUM(AC15:AF15)</f>
        <v>0</v>
      </c>
      <c r="AH15" s="554">
        <f>SUM(W15+AG15)</f>
        <v>184717</v>
      </c>
      <c r="AI15" s="495"/>
      <c r="AJ15" s="499">
        <f>AH15-B15</f>
        <v>6431</v>
      </c>
      <c r="AK15" s="532">
        <f t="shared" si="1"/>
        <v>3.6071256296063628E-2</v>
      </c>
      <c r="AL15" s="544"/>
      <c r="AM15" s="124">
        <f>AH15-W15</f>
        <v>0</v>
      </c>
      <c r="AN15" s="127">
        <f t="shared" si="2"/>
        <v>0</v>
      </c>
      <c r="AO15" s="207"/>
      <c r="AP15" s="616"/>
      <c r="AQ15" s="632"/>
      <c r="AR15" s="207"/>
      <c r="AZ15" s="207">
        <f>+AY15-AX15</f>
        <v>0</v>
      </c>
      <c r="BD15" s="95">
        <v>29863402</v>
      </c>
    </row>
    <row r="16" spans="1:56" ht="16.5" x14ac:dyDescent="0.3">
      <c r="A16" s="263" t="s">
        <v>3</v>
      </c>
      <c r="B16" s="421">
        <v>82100</v>
      </c>
      <c r="C16" s="39">
        <v>0</v>
      </c>
      <c r="D16" s="467">
        <v>111143</v>
      </c>
      <c r="E16" s="207">
        <v>243</v>
      </c>
      <c r="F16" s="58">
        <v>373</v>
      </c>
      <c r="G16" s="207">
        <v>26</v>
      </c>
      <c r="H16" s="58">
        <v>980</v>
      </c>
      <c r="I16" s="217">
        <v>1476</v>
      </c>
      <c r="J16" s="74">
        <f>SUM(E16:I16)</f>
        <v>3098</v>
      </c>
      <c r="K16" s="268">
        <v>0</v>
      </c>
      <c r="L16" s="320">
        <v>0</v>
      </c>
      <c r="M16" s="217">
        <v>0</v>
      </c>
      <c r="N16" s="237">
        <f>SUM(K16:M16)</f>
        <v>0</v>
      </c>
      <c r="O16" s="433">
        <f>+J16+N16</f>
        <v>3098</v>
      </c>
      <c r="P16" s="286">
        <v>0</v>
      </c>
      <c r="Q16" s="58">
        <v>0</v>
      </c>
      <c r="R16" s="293">
        <v>0</v>
      </c>
      <c r="S16" s="58">
        <v>0</v>
      </c>
      <c r="T16" s="293">
        <v>0</v>
      </c>
      <c r="U16" s="58">
        <v>0</v>
      </c>
      <c r="V16" s="425">
        <f>SUM(P16:U16)</f>
        <v>0</v>
      </c>
      <c r="W16" s="416">
        <f>+B16+O16+V16</f>
        <v>85198</v>
      </c>
      <c r="X16" s="525"/>
      <c r="Y16" s="390">
        <f>W16-B16</f>
        <v>3098</v>
      </c>
      <c r="Z16" s="516">
        <f t="shared" si="0"/>
        <v>3.7734470158343483E-2</v>
      </c>
      <c r="AA16" s="572"/>
      <c r="AB16" s="615"/>
      <c r="AC16" s="592">
        <v>0</v>
      </c>
      <c r="AD16" s="511">
        <v>0</v>
      </c>
      <c r="AE16" s="511">
        <v>0</v>
      </c>
      <c r="AF16" s="593">
        <v>0</v>
      </c>
      <c r="AG16" s="553">
        <f>SUM(AC16:AF16)</f>
        <v>0</v>
      </c>
      <c r="AH16" s="554">
        <f>SUM(W16+AG16)</f>
        <v>85198</v>
      </c>
      <c r="AI16" s="495"/>
      <c r="AJ16" s="499">
        <f>AH16-B16</f>
        <v>3098</v>
      </c>
      <c r="AK16" s="532">
        <f t="shared" si="1"/>
        <v>3.7734470158343483E-2</v>
      </c>
      <c r="AL16" s="544"/>
      <c r="AM16" s="124">
        <f>AH16-W16</f>
        <v>0</v>
      </c>
      <c r="AN16" s="127">
        <f t="shared" si="2"/>
        <v>0</v>
      </c>
      <c r="AO16" s="207"/>
      <c r="AP16" s="616"/>
      <c r="AQ16" s="632"/>
      <c r="AR16" s="207"/>
      <c r="AZ16" s="207">
        <f>+AY16-AX16</f>
        <v>0</v>
      </c>
      <c r="BD16" s="95">
        <v>11174379</v>
      </c>
    </row>
    <row r="17" spans="1:56" ht="16.5" x14ac:dyDescent="0.3">
      <c r="A17" s="263" t="s">
        <v>4</v>
      </c>
      <c r="B17" s="421">
        <v>205305</v>
      </c>
      <c r="C17" s="39">
        <v>0</v>
      </c>
      <c r="D17" s="467">
        <v>233286</v>
      </c>
      <c r="E17" s="207">
        <v>177</v>
      </c>
      <c r="F17" s="58">
        <v>1157</v>
      </c>
      <c r="G17" s="207">
        <v>34</v>
      </c>
      <c r="H17" s="58">
        <v>2835</v>
      </c>
      <c r="I17" s="217">
        <v>3489</v>
      </c>
      <c r="J17" s="74">
        <f>SUM(E17:I17)</f>
        <v>7692</v>
      </c>
      <c r="K17" s="268">
        <v>0</v>
      </c>
      <c r="L17" s="320">
        <v>0</v>
      </c>
      <c r="M17" s="217">
        <v>0</v>
      </c>
      <c r="N17" s="237">
        <f>SUM(K17:M17)</f>
        <v>0</v>
      </c>
      <c r="O17" s="433">
        <f>+J17+N17</f>
        <v>7692</v>
      </c>
      <c r="P17" s="286">
        <v>0</v>
      </c>
      <c r="Q17" s="58">
        <v>0</v>
      </c>
      <c r="R17" s="293">
        <v>0</v>
      </c>
      <c r="S17" s="58">
        <v>0</v>
      </c>
      <c r="T17" s="293">
        <v>0</v>
      </c>
      <c r="U17" s="58">
        <v>0</v>
      </c>
      <c r="V17" s="425">
        <f>SUM(P17:U17)</f>
        <v>0</v>
      </c>
      <c r="W17" s="416">
        <f>+B17+O17+V17</f>
        <v>212997</v>
      </c>
      <c r="X17" s="525"/>
      <c r="Y17" s="390">
        <f>W17-B17</f>
        <v>7692</v>
      </c>
      <c r="Z17" s="516">
        <f t="shared" si="0"/>
        <v>3.746620881128078E-2</v>
      </c>
      <c r="AA17" s="572"/>
      <c r="AB17" s="615"/>
      <c r="AC17" s="592">
        <v>0</v>
      </c>
      <c r="AD17" s="511">
        <v>0</v>
      </c>
      <c r="AE17" s="511">
        <v>0</v>
      </c>
      <c r="AF17" s="593">
        <v>0</v>
      </c>
      <c r="AG17" s="553">
        <f>SUM(AC17:AF17)</f>
        <v>0</v>
      </c>
      <c r="AH17" s="554">
        <f>SUM(W17+AG17)</f>
        <v>212997</v>
      </c>
      <c r="AI17" s="495"/>
      <c r="AJ17" s="499">
        <f>AH17-B17</f>
        <v>7692</v>
      </c>
      <c r="AK17" s="532">
        <f t="shared" si="1"/>
        <v>3.746620881128078E-2</v>
      </c>
      <c r="AL17" s="544"/>
      <c r="AM17" s="124">
        <f>AH17-W17</f>
        <v>0</v>
      </c>
      <c r="AN17" s="127">
        <f t="shared" si="2"/>
        <v>0</v>
      </c>
      <c r="AO17" s="207"/>
      <c r="AP17" s="616"/>
      <c r="AQ17" s="632"/>
      <c r="AR17" s="207"/>
      <c r="AZ17" s="207">
        <f>+AY17-AX17</f>
        <v>0</v>
      </c>
      <c r="BD17" s="95">
        <v>31324734</v>
      </c>
    </row>
    <row r="18" spans="1:56" ht="16.5" x14ac:dyDescent="0.3">
      <c r="A18" s="263" t="s">
        <v>84</v>
      </c>
      <c r="B18" s="421">
        <v>914139</v>
      </c>
      <c r="C18" s="39">
        <v>0</v>
      </c>
      <c r="D18" s="467">
        <v>962331</v>
      </c>
      <c r="E18" s="122">
        <v>0</v>
      </c>
      <c r="F18" s="58">
        <v>0</v>
      </c>
      <c r="G18" s="207">
        <v>0</v>
      </c>
      <c r="H18" s="58">
        <v>35249</v>
      </c>
      <c r="I18" s="217">
        <v>16723</v>
      </c>
      <c r="J18" s="74">
        <f>SUM(E18:I18)</f>
        <v>51972</v>
      </c>
      <c r="K18" s="267">
        <v>0</v>
      </c>
      <c r="L18" s="319">
        <v>0</v>
      </c>
      <c r="M18" s="217">
        <v>0</v>
      </c>
      <c r="N18" s="237">
        <f>SUM(K18:M18)</f>
        <v>0</v>
      </c>
      <c r="O18" s="433">
        <f>+J18+N18</f>
        <v>51972</v>
      </c>
      <c r="P18" s="286">
        <v>0</v>
      </c>
      <c r="Q18" s="58">
        <v>0</v>
      </c>
      <c r="R18" s="293">
        <v>0</v>
      </c>
      <c r="S18" s="58">
        <v>0</v>
      </c>
      <c r="T18" s="293">
        <v>0</v>
      </c>
      <c r="U18" s="58">
        <v>0</v>
      </c>
      <c r="V18" s="425">
        <f>SUM(P18:U18)</f>
        <v>0</v>
      </c>
      <c r="W18" s="416">
        <f>+B18+O18+V18</f>
        <v>966111</v>
      </c>
      <c r="X18" s="525"/>
      <c r="Y18" s="390">
        <f>W18-B18</f>
        <v>51972</v>
      </c>
      <c r="Z18" s="516">
        <f t="shared" si="0"/>
        <v>5.6853498209790854E-2</v>
      </c>
      <c r="AA18" s="572"/>
      <c r="AB18" s="615"/>
      <c r="AC18" s="592">
        <v>0</v>
      </c>
      <c r="AD18" s="511">
        <v>0</v>
      </c>
      <c r="AE18" s="511">
        <v>0</v>
      </c>
      <c r="AF18" s="593">
        <v>0</v>
      </c>
      <c r="AG18" s="553">
        <f>SUM(AC18:AF18)</f>
        <v>0</v>
      </c>
      <c r="AH18" s="554">
        <f>SUM(W18+AG18)</f>
        <v>966111</v>
      </c>
      <c r="AI18" s="495"/>
      <c r="AJ18" s="499">
        <f>AH18-B18</f>
        <v>51972</v>
      </c>
      <c r="AK18" s="532">
        <f t="shared" si="1"/>
        <v>5.6853498209790854E-2</v>
      </c>
      <c r="AL18" s="544"/>
      <c r="AM18" s="124">
        <f>AH18-W18</f>
        <v>0</v>
      </c>
      <c r="AN18" s="127">
        <f t="shared" si="2"/>
        <v>0</v>
      </c>
      <c r="AO18" s="207"/>
      <c r="AP18" s="616"/>
      <c r="AQ18" s="632"/>
      <c r="AR18" s="207"/>
      <c r="AZ18" s="207"/>
      <c r="BD18" s="95">
        <v>85416008</v>
      </c>
    </row>
    <row r="19" spans="1:56" ht="16.5" x14ac:dyDescent="0.3">
      <c r="A19" s="264" t="s">
        <v>21</v>
      </c>
      <c r="B19" s="422">
        <f>SUM(B14:B18)</f>
        <v>3237055</v>
      </c>
      <c r="C19" s="374">
        <f t="shared" ref="C19:I19" si="3">SUM(C14:C18)</f>
        <v>0</v>
      </c>
      <c r="D19" s="468">
        <f t="shared" si="3"/>
        <v>3473587</v>
      </c>
      <c r="E19" s="332">
        <f t="shared" si="3"/>
        <v>6148</v>
      </c>
      <c r="F19" s="333">
        <f t="shared" si="3"/>
        <v>10029</v>
      </c>
      <c r="G19" s="334">
        <f t="shared" si="3"/>
        <v>2430</v>
      </c>
      <c r="H19" s="335">
        <f t="shared" si="3"/>
        <v>62238</v>
      </c>
      <c r="I19" s="336">
        <f t="shared" si="3"/>
        <v>58375</v>
      </c>
      <c r="J19" s="75">
        <f t="shared" ref="J19:W19" si="4">SUM(J14:J18)</f>
        <v>139220</v>
      </c>
      <c r="K19" s="123">
        <f t="shared" si="4"/>
        <v>75000</v>
      </c>
      <c r="L19" s="294">
        <f>SUM(L14:L18)</f>
        <v>0</v>
      </c>
      <c r="M19" s="315">
        <f t="shared" si="4"/>
        <v>0</v>
      </c>
      <c r="N19" s="96">
        <f t="shared" si="4"/>
        <v>75000</v>
      </c>
      <c r="O19" s="434">
        <f t="shared" si="4"/>
        <v>214220</v>
      </c>
      <c r="P19" s="287">
        <f t="shared" si="4"/>
        <v>0</v>
      </c>
      <c r="Q19" s="272">
        <f t="shared" si="4"/>
        <v>0</v>
      </c>
      <c r="R19" s="294">
        <f t="shared" si="4"/>
        <v>0</v>
      </c>
      <c r="S19" s="272">
        <f t="shared" si="4"/>
        <v>0</v>
      </c>
      <c r="T19" s="294">
        <f t="shared" si="4"/>
        <v>0</v>
      </c>
      <c r="U19" s="272">
        <f t="shared" si="4"/>
        <v>0</v>
      </c>
      <c r="V19" s="422">
        <f t="shared" si="4"/>
        <v>0</v>
      </c>
      <c r="W19" s="417">
        <f t="shared" si="4"/>
        <v>3451275</v>
      </c>
      <c r="X19" s="525"/>
      <c r="Y19" s="391">
        <f>SUM(Y14:Y18)</f>
        <v>214220</v>
      </c>
      <c r="Z19" s="517">
        <f t="shared" si="0"/>
        <v>6.6177435971894211E-2</v>
      </c>
      <c r="AA19" s="572"/>
      <c r="AB19" s="615"/>
      <c r="AC19" s="594">
        <f>SUM(AC13:AC18)</f>
        <v>0</v>
      </c>
      <c r="AD19" s="537">
        <f>SUM(AD13:AD18)</f>
        <v>0</v>
      </c>
      <c r="AE19" s="537">
        <f>SUM(AE13:AE18)</f>
        <v>0</v>
      </c>
      <c r="AF19" s="595">
        <f>SUM(AF13:AF18)</f>
        <v>0</v>
      </c>
      <c r="AG19" s="555">
        <f>SUM(AG13:AG18)</f>
        <v>0</v>
      </c>
      <c r="AH19" s="556">
        <f>SUM(AH14:AH18)</f>
        <v>3451275</v>
      </c>
      <c r="AI19" s="495"/>
      <c r="AJ19" s="500">
        <f>SUM(AJ14:AJ18)</f>
        <v>214220</v>
      </c>
      <c r="AK19" s="533">
        <f t="shared" si="1"/>
        <v>6.6177435971894211E-2</v>
      </c>
      <c r="AL19" s="544"/>
      <c r="AM19" s="546">
        <f>SUM(AM14:AM18)</f>
        <v>0</v>
      </c>
      <c r="AN19" s="578">
        <f t="shared" si="2"/>
        <v>0</v>
      </c>
      <c r="AO19" s="207"/>
      <c r="AP19" s="616"/>
      <c r="AQ19" s="632"/>
      <c r="AR19" s="207"/>
      <c r="AZ19" s="123">
        <f>SUM(AZ14:AZ18)</f>
        <v>0</v>
      </c>
      <c r="BD19" s="96">
        <f>SUM(BD14:BD18)</f>
        <v>472000327</v>
      </c>
    </row>
    <row r="20" spans="1:56" ht="16.5" x14ac:dyDescent="0.3">
      <c r="A20" s="263" t="s">
        <v>6</v>
      </c>
      <c r="B20" s="421">
        <v>76623</v>
      </c>
      <c r="C20" s="39">
        <v>0</v>
      </c>
      <c r="D20" s="467">
        <v>82040</v>
      </c>
      <c r="E20" s="207">
        <v>282</v>
      </c>
      <c r="F20" s="58">
        <v>323</v>
      </c>
      <c r="G20" s="207">
        <v>22</v>
      </c>
      <c r="H20" s="58">
        <v>1733</v>
      </c>
      <c r="I20" s="217">
        <v>1374</v>
      </c>
      <c r="J20" s="74">
        <f>SUM(E20:I20)</f>
        <v>3734</v>
      </c>
      <c r="K20" s="268">
        <v>0</v>
      </c>
      <c r="L20" s="320">
        <v>0</v>
      </c>
      <c r="M20" s="217">
        <v>0</v>
      </c>
      <c r="N20" s="237">
        <f>SUM(K20:M20)</f>
        <v>0</v>
      </c>
      <c r="O20" s="433">
        <f>+J20+N20</f>
        <v>3734</v>
      </c>
      <c r="P20" s="286">
        <v>0</v>
      </c>
      <c r="Q20" s="58">
        <v>0</v>
      </c>
      <c r="R20" s="293">
        <v>0</v>
      </c>
      <c r="S20" s="58">
        <v>0</v>
      </c>
      <c r="T20" s="293">
        <v>0</v>
      </c>
      <c r="U20" s="58">
        <v>0</v>
      </c>
      <c r="V20" s="425">
        <f>SUM(P20:U20)</f>
        <v>0</v>
      </c>
      <c r="W20" s="416">
        <f>+B20+O20+V20</f>
        <v>80357</v>
      </c>
      <c r="X20" s="525"/>
      <c r="Y20" s="390">
        <f>W20-B20</f>
        <v>3734</v>
      </c>
      <c r="Z20" s="516">
        <f t="shared" si="0"/>
        <v>4.8732103937460032E-2</v>
      </c>
      <c r="AA20" s="572"/>
      <c r="AB20" s="615"/>
      <c r="AC20" s="592">
        <v>0</v>
      </c>
      <c r="AD20" s="511">
        <v>0</v>
      </c>
      <c r="AE20" s="511">
        <v>0</v>
      </c>
      <c r="AF20" s="593">
        <v>0</v>
      </c>
      <c r="AG20" s="553">
        <f>SUM(AC20:AF20)</f>
        <v>0</v>
      </c>
      <c r="AH20" s="554">
        <f>SUM(W20+AG20)</f>
        <v>80357</v>
      </c>
      <c r="AI20" s="495"/>
      <c r="AJ20" s="501">
        <f>SUM(AH20-B20)</f>
        <v>3734</v>
      </c>
      <c r="AK20" s="532">
        <f t="shared" si="1"/>
        <v>4.8732103937460032E-2</v>
      </c>
      <c r="AL20" s="544"/>
      <c r="AM20" s="124">
        <f>AH20-W20</f>
        <v>0</v>
      </c>
      <c r="AN20" s="127">
        <f t="shared" si="2"/>
        <v>0</v>
      </c>
      <c r="AO20" s="207"/>
      <c r="AP20" s="616"/>
      <c r="AQ20" s="632"/>
      <c r="AR20" s="207"/>
      <c r="AZ20" s="207">
        <f>+AY20-AX20</f>
        <v>0</v>
      </c>
      <c r="BD20" s="95">
        <v>9878519</v>
      </c>
    </row>
    <row r="21" spans="1:56" ht="16.5" x14ac:dyDescent="0.3">
      <c r="A21" s="263" t="s">
        <v>7</v>
      </c>
      <c r="B21" s="421">
        <v>18255</v>
      </c>
      <c r="C21" s="39">
        <v>0</v>
      </c>
      <c r="D21" s="467">
        <v>19545</v>
      </c>
      <c r="E21" s="207">
        <v>33</v>
      </c>
      <c r="F21" s="58">
        <v>100</v>
      </c>
      <c r="G21" s="207">
        <v>2</v>
      </c>
      <c r="H21" s="58">
        <v>545</v>
      </c>
      <c r="I21" s="217">
        <v>329</v>
      </c>
      <c r="J21" s="74">
        <f>SUM(E21:I21)</f>
        <v>1009</v>
      </c>
      <c r="K21" s="268">
        <v>0</v>
      </c>
      <c r="L21" s="320">
        <v>0</v>
      </c>
      <c r="M21" s="217">
        <v>0</v>
      </c>
      <c r="N21" s="237">
        <f>SUM(K21:M21)</f>
        <v>0</v>
      </c>
      <c r="O21" s="433">
        <f>+J21+N21</f>
        <v>1009</v>
      </c>
      <c r="P21" s="286">
        <v>0</v>
      </c>
      <c r="Q21" s="58">
        <v>0</v>
      </c>
      <c r="R21" s="293">
        <v>0</v>
      </c>
      <c r="S21" s="58">
        <v>0</v>
      </c>
      <c r="T21" s="293">
        <v>0</v>
      </c>
      <c r="U21" s="58">
        <v>0</v>
      </c>
      <c r="V21" s="425">
        <f>SUM(P21:U21)</f>
        <v>0</v>
      </c>
      <c r="W21" s="416">
        <f>+B21+O21+V21</f>
        <v>19264</v>
      </c>
      <c r="X21" s="525"/>
      <c r="Y21" s="390">
        <f>W21-B21</f>
        <v>1009</v>
      </c>
      <c r="Z21" s="516">
        <f t="shared" si="0"/>
        <v>5.5272528074500137E-2</v>
      </c>
      <c r="AA21" s="572"/>
      <c r="AB21" s="615"/>
      <c r="AC21" s="592">
        <v>0</v>
      </c>
      <c r="AD21" s="511">
        <v>0</v>
      </c>
      <c r="AE21" s="511">
        <v>0</v>
      </c>
      <c r="AF21" s="593">
        <v>0</v>
      </c>
      <c r="AG21" s="553">
        <f>SUM(AC21:AF21)</f>
        <v>0</v>
      </c>
      <c r="AH21" s="554">
        <f>SUM(W21+AG21)</f>
        <v>19264</v>
      </c>
      <c r="AI21" s="495"/>
      <c r="AJ21" s="501">
        <f>SUM(AH21-B21)</f>
        <v>1009</v>
      </c>
      <c r="AK21" s="532">
        <f t="shared" si="1"/>
        <v>5.5272528074500137E-2</v>
      </c>
      <c r="AL21" s="544"/>
      <c r="AM21" s="124">
        <f>AH21-W21</f>
        <v>0</v>
      </c>
      <c r="AN21" s="127">
        <f t="shared" si="2"/>
        <v>0</v>
      </c>
      <c r="AO21" s="207"/>
      <c r="AP21" s="616"/>
      <c r="AQ21" s="632"/>
      <c r="AR21" s="207"/>
      <c r="AZ21" s="207">
        <f>+AY21-AX21</f>
        <v>0</v>
      </c>
      <c r="BD21" s="95">
        <v>2461441</v>
      </c>
    </row>
    <row r="22" spans="1:56" ht="16.5" x14ac:dyDescent="0.3">
      <c r="A22" s="263" t="s">
        <v>8</v>
      </c>
      <c r="B22" s="421">
        <v>58906</v>
      </c>
      <c r="C22" s="39">
        <v>0</v>
      </c>
      <c r="D22" s="467">
        <v>62428</v>
      </c>
      <c r="E22" s="207">
        <v>6</v>
      </c>
      <c r="F22" s="58">
        <v>431</v>
      </c>
      <c r="G22" s="207">
        <v>0</v>
      </c>
      <c r="H22" s="58">
        <v>2223</v>
      </c>
      <c r="I22" s="217">
        <v>1069</v>
      </c>
      <c r="J22" s="74">
        <f>SUM(E22:I22)</f>
        <v>3729</v>
      </c>
      <c r="K22" s="267">
        <v>0</v>
      </c>
      <c r="L22" s="319">
        <v>0</v>
      </c>
      <c r="M22" s="217">
        <v>0</v>
      </c>
      <c r="N22" s="237">
        <f>SUM(K22:M22)</f>
        <v>0</v>
      </c>
      <c r="O22" s="433">
        <f>+J22+N22</f>
        <v>3729</v>
      </c>
      <c r="P22" s="286">
        <v>0</v>
      </c>
      <c r="Q22" s="58">
        <v>0</v>
      </c>
      <c r="R22" s="293">
        <v>0</v>
      </c>
      <c r="S22" s="58">
        <v>0</v>
      </c>
      <c r="T22" s="293">
        <v>0</v>
      </c>
      <c r="U22" s="58">
        <v>0</v>
      </c>
      <c r="V22" s="425">
        <f>SUM(P22:U22)</f>
        <v>0</v>
      </c>
      <c r="W22" s="416">
        <f>+B22+O22+V22</f>
        <v>62635</v>
      </c>
      <c r="X22" s="525"/>
      <c r="Y22" s="390">
        <f>W22-B22</f>
        <v>3729</v>
      </c>
      <c r="Z22" s="516">
        <f t="shared" si="0"/>
        <v>6.3304247445081993E-2</v>
      </c>
      <c r="AA22" s="572"/>
      <c r="AB22" s="615"/>
      <c r="AC22" s="592">
        <v>0</v>
      </c>
      <c r="AD22" s="511">
        <v>0</v>
      </c>
      <c r="AE22" s="511">
        <v>0</v>
      </c>
      <c r="AF22" s="593">
        <v>0</v>
      </c>
      <c r="AG22" s="553">
        <f>SUM(AC22:AF22)</f>
        <v>0</v>
      </c>
      <c r="AH22" s="554">
        <f>SUM(W22+AG22)</f>
        <v>62635</v>
      </c>
      <c r="AI22" s="495"/>
      <c r="AJ22" s="501">
        <f>SUM(AH22-B22)</f>
        <v>3729</v>
      </c>
      <c r="AK22" s="532">
        <f t="shared" si="1"/>
        <v>6.3304247445081993E-2</v>
      </c>
      <c r="AL22" s="544"/>
      <c r="AM22" s="124">
        <f>AH22-W22</f>
        <v>0</v>
      </c>
      <c r="AN22" s="127">
        <f t="shared" si="2"/>
        <v>0</v>
      </c>
      <c r="AO22" s="207"/>
      <c r="AP22" s="616"/>
      <c r="AQ22" s="632"/>
      <c r="AR22" s="207"/>
      <c r="AZ22" s="207"/>
      <c r="BD22" s="95">
        <v>4243368</v>
      </c>
    </row>
    <row r="23" spans="1:56" ht="16.5" x14ac:dyDescent="0.3">
      <c r="A23" s="263" t="s">
        <v>9</v>
      </c>
      <c r="B23" s="421">
        <v>1950</v>
      </c>
      <c r="C23" s="39">
        <v>0</v>
      </c>
      <c r="D23" s="467">
        <v>2062</v>
      </c>
      <c r="E23" s="207">
        <v>0</v>
      </c>
      <c r="F23" s="58">
        <v>15</v>
      </c>
      <c r="G23" s="207">
        <v>0</v>
      </c>
      <c r="H23" s="58">
        <v>70</v>
      </c>
      <c r="I23" s="217">
        <v>33</v>
      </c>
      <c r="J23" s="74">
        <f>SUM(E23:I23)</f>
        <v>118</v>
      </c>
      <c r="K23" s="267">
        <v>0</v>
      </c>
      <c r="L23" s="319">
        <v>0</v>
      </c>
      <c r="M23" s="217">
        <v>0</v>
      </c>
      <c r="N23" s="237">
        <f>SUM(K23:M23)</f>
        <v>0</v>
      </c>
      <c r="O23" s="433">
        <f>+J23+N23</f>
        <v>118</v>
      </c>
      <c r="P23" s="286">
        <v>0</v>
      </c>
      <c r="Q23" s="58">
        <v>0</v>
      </c>
      <c r="R23" s="293">
        <v>0</v>
      </c>
      <c r="S23" s="58">
        <v>0</v>
      </c>
      <c r="T23" s="293">
        <v>0</v>
      </c>
      <c r="U23" s="58">
        <v>0</v>
      </c>
      <c r="V23" s="425">
        <f>SUM(P23:U23)</f>
        <v>0</v>
      </c>
      <c r="W23" s="416">
        <f>+B23+O23+V23</f>
        <v>2068</v>
      </c>
      <c r="X23" s="525"/>
      <c r="Y23" s="390">
        <f>W23-B23</f>
        <v>118</v>
      </c>
      <c r="Z23" s="516">
        <f t="shared" si="0"/>
        <v>6.051282051282051E-2</v>
      </c>
      <c r="AA23" s="572"/>
      <c r="AB23" s="615"/>
      <c r="AC23" s="592">
        <v>0</v>
      </c>
      <c r="AD23" s="511">
        <v>0</v>
      </c>
      <c r="AE23" s="511">
        <v>0</v>
      </c>
      <c r="AF23" s="593">
        <v>0</v>
      </c>
      <c r="AG23" s="553">
        <f>SUM(AC23:AF23)</f>
        <v>0</v>
      </c>
      <c r="AH23" s="554">
        <f>SUM(W23+AG23)</f>
        <v>2068</v>
      </c>
      <c r="AI23" s="495"/>
      <c r="AJ23" s="501">
        <f>SUM(AH23-B23)</f>
        <v>118</v>
      </c>
      <c r="AK23" s="532">
        <f t="shared" si="1"/>
        <v>6.051282051282051E-2</v>
      </c>
      <c r="AL23" s="544"/>
      <c r="AM23" s="124">
        <f>AH23-W23</f>
        <v>0</v>
      </c>
      <c r="AN23" s="127">
        <f t="shared" si="2"/>
        <v>0</v>
      </c>
      <c r="AO23" s="207"/>
      <c r="AP23" s="616"/>
      <c r="AQ23" s="632"/>
      <c r="AR23" s="207"/>
      <c r="AZ23" s="207"/>
      <c r="BD23" s="95">
        <v>1826000</v>
      </c>
    </row>
    <row r="24" spans="1:56" ht="16.5" x14ac:dyDescent="0.3">
      <c r="A24" s="264" t="s">
        <v>24</v>
      </c>
      <c r="B24" s="422">
        <f>SUM(B20:B23)</f>
        <v>155734</v>
      </c>
      <c r="C24" s="374">
        <f t="shared" ref="C24:I24" si="5">SUM(C20:C23)</f>
        <v>0</v>
      </c>
      <c r="D24" s="468">
        <f t="shared" si="5"/>
        <v>166075</v>
      </c>
      <c r="E24" s="332">
        <f t="shared" si="5"/>
        <v>321</v>
      </c>
      <c r="F24" s="333">
        <f t="shared" si="5"/>
        <v>869</v>
      </c>
      <c r="G24" s="334">
        <f t="shared" si="5"/>
        <v>24</v>
      </c>
      <c r="H24" s="335">
        <f t="shared" si="5"/>
        <v>4571</v>
      </c>
      <c r="I24" s="336">
        <f t="shared" si="5"/>
        <v>2805</v>
      </c>
      <c r="J24" s="75">
        <f t="shared" ref="J24:W24" si="6">SUM(J20:J23)</f>
        <v>8590</v>
      </c>
      <c r="K24" s="123">
        <f t="shared" si="6"/>
        <v>0</v>
      </c>
      <c r="L24" s="294">
        <f>SUM(L20:L23)</f>
        <v>0</v>
      </c>
      <c r="M24" s="315">
        <f t="shared" si="6"/>
        <v>0</v>
      </c>
      <c r="N24" s="96">
        <f t="shared" si="6"/>
        <v>0</v>
      </c>
      <c r="O24" s="434">
        <f t="shared" si="6"/>
        <v>8590</v>
      </c>
      <c r="P24" s="287">
        <f t="shared" si="6"/>
        <v>0</v>
      </c>
      <c r="Q24" s="272">
        <f t="shared" si="6"/>
        <v>0</v>
      </c>
      <c r="R24" s="294">
        <f t="shared" si="6"/>
        <v>0</v>
      </c>
      <c r="S24" s="272">
        <f t="shared" si="6"/>
        <v>0</v>
      </c>
      <c r="T24" s="294">
        <f t="shared" si="6"/>
        <v>0</v>
      </c>
      <c r="U24" s="272">
        <f t="shared" si="6"/>
        <v>0</v>
      </c>
      <c r="V24" s="422">
        <f t="shared" si="6"/>
        <v>0</v>
      </c>
      <c r="W24" s="417">
        <f t="shared" si="6"/>
        <v>164324</v>
      </c>
      <c r="X24" s="525"/>
      <c r="Y24" s="391">
        <f>SUM(Y20:Y23)</f>
        <v>8590</v>
      </c>
      <c r="Z24" s="527">
        <f t="shared" si="0"/>
        <v>5.5158154288723081E-2</v>
      </c>
      <c r="AA24" s="572"/>
      <c r="AB24" s="615"/>
      <c r="AC24" s="594">
        <f t="shared" ref="AC24:AH24" si="7">SUM(AC20:AC23)</f>
        <v>0</v>
      </c>
      <c r="AD24" s="537">
        <f t="shared" si="7"/>
        <v>0</v>
      </c>
      <c r="AE24" s="537">
        <f t="shared" si="7"/>
        <v>0</v>
      </c>
      <c r="AF24" s="595">
        <f t="shared" si="7"/>
        <v>0</v>
      </c>
      <c r="AG24" s="555">
        <f t="shared" si="7"/>
        <v>0</v>
      </c>
      <c r="AH24" s="556">
        <f t="shared" si="7"/>
        <v>164324</v>
      </c>
      <c r="AI24" s="495"/>
      <c r="AJ24" s="500">
        <f>SUM(AJ20:AJ23)</f>
        <v>8590</v>
      </c>
      <c r="AK24" s="533">
        <f>IF(B21=0,0,AJ24/B24)</f>
        <v>5.5158154288723081E-2</v>
      </c>
      <c r="AL24" s="544"/>
      <c r="AM24" s="546">
        <f>SUM(AM20:AM23)</f>
        <v>0</v>
      </c>
      <c r="AN24" s="579">
        <f t="shared" si="2"/>
        <v>0</v>
      </c>
      <c r="AO24" s="207"/>
      <c r="AP24" s="616"/>
      <c r="AQ24" s="632"/>
      <c r="AR24" s="207"/>
      <c r="AZ24" s="123">
        <f>SUM(AZ20:AZ23)</f>
        <v>0</v>
      </c>
      <c r="BD24" s="96">
        <f>SUM(BD20:BD23)</f>
        <v>18409328</v>
      </c>
    </row>
    <row r="25" spans="1:56" ht="16.5" x14ac:dyDescent="0.3">
      <c r="A25" s="263" t="s">
        <v>10</v>
      </c>
      <c r="B25" s="421">
        <v>44741</v>
      </c>
      <c r="C25" s="39">
        <v>0</v>
      </c>
      <c r="D25" s="467">
        <v>48157</v>
      </c>
      <c r="E25" s="207">
        <v>16</v>
      </c>
      <c r="F25" s="58">
        <v>196</v>
      </c>
      <c r="G25" s="207">
        <v>73</v>
      </c>
      <c r="H25" s="58">
        <v>1372</v>
      </c>
      <c r="I25" s="217">
        <v>745</v>
      </c>
      <c r="J25" s="74">
        <f>SUM(E25:I25)</f>
        <v>2402</v>
      </c>
      <c r="K25" s="207">
        <v>0</v>
      </c>
      <c r="L25" s="293">
        <v>0</v>
      </c>
      <c r="M25" s="217">
        <v>0</v>
      </c>
      <c r="N25" s="237">
        <f>SUM(K25:M25)</f>
        <v>0</v>
      </c>
      <c r="O25" s="433">
        <f>+J25+N25</f>
        <v>2402</v>
      </c>
      <c r="P25" s="286">
        <v>0</v>
      </c>
      <c r="Q25" s="58">
        <v>0</v>
      </c>
      <c r="R25" s="293">
        <v>0</v>
      </c>
      <c r="S25" s="58">
        <v>0</v>
      </c>
      <c r="T25" s="293">
        <v>0</v>
      </c>
      <c r="U25" s="58">
        <v>0</v>
      </c>
      <c r="V25" s="425">
        <f>SUM(P25:U25)</f>
        <v>0</v>
      </c>
      <c r="W25" s="416">
        <f>+B25+O25+V25</f>
        <v>47143</v>
      </c>
      <c r="X25" s="525"/>
      <c r="Y25" s="390">
        <f>W25-B25</f>
        <v>2402</v>
      </c>
      <c r="Z25" s="516">
        <f t="shared" si="0"/>
        <v>5.3686774993853513E-2</v>
      </c>
      <c r="AA25" s="572"/>
      <c r="AB25" s="615"/>
      <c r="AC25" s="592">
        <v>0</v>
      </c>
      <c r="AD25" s="511">
        <v>0</v>
      </c>
      <c r="AE25" s="511">
        <v>0</v>
      </c>
      <c r="AF25" s="593">
        <v>0</v>
      </c>
      <c r="AG25" s="553">
        <f>SUM(AC25:AF25)</f>
        <v>0</v>
      </c>
      <c r="AH25" s="554">
        <f>SUM(W25+AG25)</f>
        <v>47143</v>
      </c>
      <c r="AI25" s="495"/>
      <c r="AJ25" s="501">
        <f>SUM(AH25-B25)</f>
        <v>2402</v>
      </c>
      <c r="AK25" s="532">
        <f>IF(B25=0,0,AJ25/B25)</f>
        <v>5.3686774993853513E-2</v>
      </c>
      <c r="AL25" s="544"/>
      <c r="AM25" s="124">
        <f>AH25-W25</f>
        <v>0</v>
      </c>
      <c r="AN25" s="127">
        <f t="shared" si="2"/>
        <v>0</v>
      </c>
      <c r="AO25" s="207"/>
      <c r="AP25" s="616"/>
      <c r="AQ25" s="632"/>
      <c r="AR25" s="207"/>
      <c r="AZ25" s="207"/>
      <c r="BD25" s="95">
        <v>0</v>
      </c>
    </row>
    <row r="26" spans="1:56" ht="16.5" x14ac:dyDescent="0.3">
      <c r="A26" s="263" t="s">
        <v>11</v>
      </c>
      <c r="B26" s="421">
        <v>48342</v>
      </c>
      <c r="C26" s="39">
        <v>0</v>
      </c>
      <c r="D26" s="467">
        <v>49345</v>
      </c>
      <c r="E26" s="207">
        <v>15</v>
      </c>
      <c r="F26" s="58">
        <v>0</v>
      </c>
      <c r="G26" s="207">
        <v>778</v>
      </c>
      <c r="H26" s="58">
        <v>0</v>
      </c>
      <c r="I26" s="217">
        <v>0</v>
      </c>
      <c r="J26" s="74">
        <f>SUM(E26:I26)</f>
        <v>793</v>
      </c>
      <c r="K26" s="207">
        <v>0</v>
      </c>
      <c r="L26" s="293">
        <v>0</v>
      </c>
      <c r="M26" s="217">
        <v>0</v>
      </c>
      <c r="N26" s="237">
        <f>SUM(K26:M26)</f>
        <v>0</v>
      </c>
      <c r="O26" s="433">
        <f>+J26+N26</f>
        <v>793</v>
      </c>
      <c r="P26" s="286">
        <v>0</v>
      </c>
      <c r="Q26" s="58">
        <v>0</v>
      </c>
      <c r="R26" s="293">
        <v>0</v>
      </c>
      <c r="S26" s="58">
        <v>0</v>
      </c>
      <c r="T26" s="293">
        <v>0</v>
      </c>
      <c r="U26" s="58">
        <v>0</v>
      </c>
      <c r="V26" s="425">
        <f>SUM(P26:U26)</f>
        <v>0</v>
      </c>
      <c r="W26" s="416">
        <f>+B26+O26+V26</f>
        <v>49135</v>
      </c>
      <c r="X26" s="525"/>
      <c r="Y26" s="390">
        <f>W26-B26</f>
        <v>793</v>
      </c>
      <c r="Z26" s="516">
        <f t="shared" ref="Z26:Z31" si="8">IF(B26=0,0,Y26/B26)</f>
        <v>1.6403955152869142E-2</v>
      </c>
      <c r="AA26" s="572"/>
      <c r="AB26" s="615"/>
      <c r="AC26" s="592">
        <v>0</v>
      </c>
      <c r="AD26" s="511">
        <v>0</v>
      </c>
      <c r="AE26" s="511">
        <v>0</v>
      </c>
      <c r="AF26" s="593">
        <v>0</v>
      </c>
      <c r="AG26" s="553">
        <f>SUM(AC26:AF26)</f>
        <v>0</v>
      </c>
      <c r="AH26" s="554">
        <f>SUM(W26+AG26)</f>
        <v>49135</v>
      </c>
      <c r="AI26" s="495"/>
      <c r="AJ26" s="501">
        <f>SUM(AH26-B26)</f>
        <v>793</v>
      </c>
      <c r="AK26" s="532">
        <f>IF(B26=0,0,AJ26/B26)</f>
        <v>1.6403955152869142E-2</v>
      </c>
      <c r="AL26" s="544"/>
      <c r="AM26" s="124">
        <f>AH26-W26</f>
        <v>0</v>
      </c>
      <c r="AN26" s="127">
        <f t="shared" ref="AN26:AN31" si="9">IF(W26=0,0,AM26/W26)</f>
        <v>0</v>
      </c>
      <c r="AO26" s="207"/>
      <c r="AP26" s="616"/>
      <c r="AQ26" s="632"/>
      <c r="AR26" s="207"/>
      <c r="AZ26" s="207">
        <f>+AY26-AX26</f>
        <v>0</v>
      </c>
      <c r="BD26" s="95">
        <v>0</v>
      </c>
    </row>
    <row r="27" spans="1:56" ht="16.5" x14ac:dyDescent="0.3">
      <c r="A27" s="263" t="s">
        <v>12</v>
      </c>
      <c r="B27" s="421">
        <v>2442</v>
      </c>
      <c r="C27" s="39">
        <v>0</v>
      </c>
      <c r="D27" s="467">
        <v>2488</v>
      </c>
      <c r="E27" s="207">
        <v>0</v>
      </c>
      <c r="F27" s="58">
        <v>0</v>
      </c>
      <c r="G27" s="207">
        <v>46</v>
      </c>
      <c r="H27" s="58">
        <v>0</v>
      </c>
      <c r="I27" s="217">
        <v>0</v>
      </c>
      <c r="J27" s="74">
        <f>SUM(E27:I27)</f>
        <v>46</v>
      </c>
      <c r="K27" s="207">
        <v>0</v>
      </c>
      <c r="L27" s="293">
        <v>0</v>
      </c>
      <c r="M27" s="217">
        <v>0</v>
      </c>
      <c r="N27" s="237">
        <f>SUM(K27:M27)</f>
        <v>0</v>
      </c>
      <c r="O27" s="433">
        <f>+J27+N27</f>
        <v>46</v>
      </c>
      <c r="P27" s="286">
        <v>0</v>
      </c>
      <c r="Q27" s="58">
        <v>0</v>
      </c>
      <c r="R27" s="293">
        <v>0</v>
      </c>
      <c r="S27" s="58">
        <v>0</v>
      </c>
      <c r="T27" s="293">
        <v>0</v>
      </c>
      <c r="U27" s="58">
        <v>0</v>
      </c>
      <c r="V27" s="425">
        <f>SUM(P27:U27)</f>
        <v>0</v>
      </c>
      <c r="W27" s="416">
        <f>+B27+O27+V27</f>
        <v>2488</v>
      </c>
      <c r="X27" s="525"/>
      <c r="Y27" s="390">
        <f>W27-B27</f>
        <v>46</v>
      </c>
      <c r="Z27" s="516">
        <f t="shared" si="8"/>
        <v>1.8837018837018837E-2</v>
      </c>
      <c r="AA27" s="572"/>
      <c r="AB27" s="615"/>
      <c r="AC27" s="592">
        <v>0</v>
      </c>
      <c r="AD27" s="511">
        <v>0</v>
      </c>
      <c r="AE27" s="511">
        <v>0</v>
      </c>
      <c r="AF27" s="593">
        <v>0</v>
      </c>
      <c r="AG27" s="553">
        <f>SUM(AC27:AF27)</f>
        <v>0</v>
      </c>
      <c r="AH27" s="554">
        <f>SUM(W27+AG27)</f>
        <v>2488</v>
      </c>
      <c r="AI27" s="495"/>
      <c r="AJ27" s="501">
        <f>SUM(AH27-B27)</f>
        <v>46</v>
      </c>
      <c r="AK27" s="532">
        <f>IF(B27=0,0,AJ27/B27)</f>
        <v>1.8837018837018837E-2</v>
      </c>
      <c r="AL27" s="544"/>
      <c r="AM27" s="124">
        <f>AH27-W27</f>
        <v>0</v>
      </c>
      <c r="AN27" s="127">
        <f t="shared" si="9"/>
        <v>0</v>
      </c>
      <c r="AO27" s="207"/>
      <c r="AP27" s="616"/>
      <c r="AQ27" s="632"/>
      <c r="AR27" s="207"/>
      <c r="AZ27" s="207">
        <f>+AY27-AX27</f>
        <v>0</v>
      </c>
      <c r="BD27" s="95">
        <v>0</v>
      </c>
    </row>
    <row r="28" spans="1:56" ht="16.5" x14ac:dyDescent="0.3">
      <c r="A28" s="263" t="s">
        <v>13</v>
      </c>
      <c r="B28" s="421">
        <v>72338</v>
      </c>
      <c r="C28" s="39">
        <v>0</v>
      </c>
      <c r="D28" s="467">
        <v>69620</v>
      </c>
      <c r="E28" s="207">
        <v>423</v>
      </c>
      <c r="F28" s="58">
        <v>121</v>
      </c>
      <c r="G28" s="207">
        <v>527</v>
      </c>
      <c r="H28" s="58">
        <v>0</v>
      </c>
      <c r="I28" s="217">
        <v>0</v>
      </c>
      <c r="J28" s="74">
        <f>SUM(E28:I28)</f>
        <v>1071</v>
      </c>
      <c r="K28" s="207">
        <v>0</v>
      </c>
      <c r="L28" s="293">
        <v>0</v>
      </c>
      <c r="M28" s="217">
        <v>0</v>
      </c>
      <c r="N28" s="237">
        <f>SUM(K28:M28)</f>
        <v>0</v>
      </c>
      <c r="O28" s="433">
        <f>+J28+N28</f>
        <v>1071</v>
      </c>
      <c r="P28" s="286">
        <v>0</v>
      </c>
      <c r="Q28" s="58">
        <v>0</v>
      </c>
      <c r="R28" s="293">
        <v>0</v>
      </c>
      <c r="S28" s="58">
        <v>0</v>
      </c>
      <c r="T28" s="293">
        <v>0</v>
      </c>
      <c r="U28" s="58">
        <v>0</v>
      </c>
      <c r="V28" s="425">
        <f>SUM(P28:U28)</f>
        <v>0</v>
      </c>
      <c r="W28" s="416">
        <f>+B28+O28+V28</f>
        <v>73409</v>
      </c>
      <c r="X28" s="525"/>
      <c r="Y28" s="390">
        <f>W28-B28</f>
        <v>1071</v>
      </c>
      <c r="Z28" s="516">
        <f t="shared" si="8"/>
        <v>1.4805496419585833E-2</v>
      </c>
      <c r="AA28" s="572"/>
      <c r="AB28" s="615"/>
      <c r="AC28" s="592">
        <v>0</v>
      </c>
      <c r="AD28" s="511">
        <v>0</v>
      </c>
      <c r="AE28" s="511">
        <v>0</v>
      </c>
      <c r="AF28" s="593">
        <v>0</v>
      </c>
      <c r="AG28" s="553">
        <f>SUM(AC28:AF28)</f>
        <v>0</v>
      </c>
      <c r="AH28" s="554">
        <f>SUM(W28+AG28)</f>
        <v>73409</v>
      </c>
      <c r="AI28" s="495"/>
      <c r="AJ28" s="501">
        <f>SUM(AH28-B28)</f>
        <v>1071</v>
      </c>
      <c r="AK28" s="532">
        <f>IF(B28=0,0,AJ28/B28)</f>
        <v>1.4805496419585833E-2</v>
      </c>
      <c r="AL28" s="544"/>
      <c r="AM28" s="124">
        <f>AH28-W28</f>
        <v>0</v>
      </c>
      <c r="AN28" s="127">
        <f t="shared" si="9"/>
        <v>0</v>
      </c>
      <c r="AO28" s="207"/>
      <c r="AP28" s="616"/>
      <c r="AQ28" s="632"/>
      <c r="AR28" s="207"/>
      <c r="AZ28" s="207"/>
      <c r="BD28" s="95">
        <v>4672306</v>
      </c>
    </row>
    <row r="29" spans="1:56" ht="16.5" x14ac:dyDescent="0.3">
      <c r="A29" s="263" t="s">
        <v>30</v>
      </c>
      <c r="B29" s="421">
        <v>5735</v>
      </c>
      <c r="C29" s="39">
        <v>0</v>
      </c>
      <c r="D29" s="467">
        <v>5837</v>
      </c>
      <c r="E29" s="207">
        <v>15</v>
      </c>
      <c r="F29" s="58">
        <v>0</v>
      </c>
      <c r="G29" s="207">
        <v>71</v>
      </c>
      <c r="H29" s="58">
        <v>0</v>
      </c>
      <c r="I29" s="217">
        <v>0</v>
      </c>
      <c r="J29" s="74">
        <f>SUM(E29:I29)</f>
        <v>86</v>
      </c>
      <c r="K29" s="207">
        <v>0</v>
      </c>
      <c r="L29" s="293">
        <v>0</v>
      </c>
      <c r="M29" s="217">
        <v>0</v>
      </c>
      <c r="N29" s="237">
        <f>SUM(K29:M29)</f>
        <v>0</v>
      </c>
      <c r="O29" s="433">
        <f>+J29+N29</f>
        <v>86</v>
      </c>
      <c r="P29" s="286">
        <v>0</v>
      </c>
      <c r="Q29" s="58">
        <v>0</v>
      </c>
      <c r="R29" s="293">
        <v>0</v>
      </c>
      <c r="S29" s="58">
        <v>0</v>
      </c>
      <c r="T29" s="293">
        <v>0</v>
      </c>
      <c r="U29" s="58">
        <v>0</v>
      </c>
      <c r="V29" s="425">
        <f>SUM(P29:U29)</f>
        <v>0</v>
      </c>
      <c r="W29" s="416">
        <f>+B29+O29+V29</f>
        <v>5821</v>
      </c>
      <c r="X29" s="525"/>
      <c r="Y29" s="390">
        <f>W29-B29</f>
        <v>86</v>
      </c>
      <c r="Z29" s="516">
        <f t="shared" si="8"/>
        <v>1.4995640802092414E-2</v>
      </c>
      <c r="AA29" s="572"/>
      <c r="AB29" s="615"/>
      <c r="AC29" s="592">
        <v>0</v>
      </c>
      <c r="AD29" s="511">
        <v>0</v>
      </c>
      <c r="AE29" s="511">
        <v>0</v>
      </c>
      <c r="AF29" s="593">
        <v>0</v>
      </c>
      <c r="AG29" s="553">
        <f>SUM(AC29:AF29)</f>
        <v>0</v>
      </c>
      <c r="AH29" s="554">
        <f>SUM(W29+AG29)</f>
        <v>5821</v>
      </c>
      <c r="AI29" s="495"/>
      <c r="AJ29" s="501">
        <f>SUM(AH29-B29)</f>
        <v>86</v>
      </c>
      <c r="AK29" s="532">
        <f>IF(B29=0,0,AJ29/B29)</f>
        <v>1.4995640802092414E-2</v>
      </c>
      <c r="AL29" s="544"/>
      <c r="AM29" s="124">
        <f>AH29-W29</f>
        <v>0</v>
      </c>
      <c r="AN29" s="127">
        <f t="shared" si="9"/>
        <v>0</v>
      </c>
      <c r="AO29" s="207"/>
      <c r="AP29" s="616"/>
      <c r="AQ29" s="632"/>
      <c r="AR29" s="207"/>
      <c r="AZ29" s="207">
        <f>+AY29-AX29</f>
        <v>0</v>
      </c>
      <c r="BD29" s="95">
        <v>0</v>
      </c>
    </row>
    <row r="30" spans="1:56" ht="16.5" x14ac:dyDescent="0.3">
      <c r="A30" s="18" t="s">
        <v>22</v>
      </c>
      <c r="B30" s="423">
        <f>SUM(B25:B29)</f>
        <v>173598</v>
      </c>
      <c r="C30" s="375">
        <f t="shared" ref="C30:W30" si="10">SUM(C25:C29)</f>
        <v>0</v>
      </c>
      <c r="D30" s="469">
        <f t="shared" si="10"/>
        <v>175447</v>
      </c>
      <c r="E30" s="337">
        <f t="shared" si="10"/>
        <v>469</v>
      </c>
      <c r="F30" s="338">
        <f t="shared" si="10"/>
        <v>317</v>
      </c>
      <c r="G30" s="337">
        <f t="shared" si="10"/>
        <v>1495</v>
      </c>
      <c r="H30" s="338">
        <f t="shared" si="10"/>
        <v>1372</v>
      </c>
      <c r="I30" s="339">
        <f t="shared" si="10"/>
        <v>745</v>
      </c>
      <c r="J30" s="40">
        <f t="shared" si="10"/>
        <v>4398</v>
      </c>
      <c r="K30" s="103">
        <f t="shared" si="10"/>
        <v>0</v>
      </c>
      <c r="L30" s="295">
        <f t="shared" si="10"/>
        <v>0</v>
      </c>
      <c r="M30" s="115">
        <f t="shared" si="10"/>
        <v>0</v>
      </c>
      <c r="N30" s="97">
        <f t="shared" si="10"/>
        <v>0</v>
      </c>
      <c r="O30" s="435">
        <f t="shared" si="10"/>
        <v>4398</v>
      </c>
      <c r="P30" s="288">
        <f t="shared" si="10"/>
        <v>0</v>
      </c>
      <c r="Q30" s="139">
        <f t="shared" si="10"/>
        <v>0</v>
      </c>
      <c r="R30" s="295">
        <f t="shared" si="10"/>
        <v>0</v>
      </c>
      <c r="S30" s="139">
        <f t="shared" si="10"/>
        <v>0</v>
      </c>
      <c r="T30" s="295">
        <f t="shared" si="10"/>
        <v>0</v>
      </c>
      <c r="U30" s="139">
        <f t="shared" si="10"/>
        <v>0</v>
      </c>
      <c r="V30" s="423">
        <f t="shared" si="10"/>
        <v>0</v>
      </c>
      <c r="W30" s="417">
        <f t="shared" si="10"/>
        <v>177996</v>
      </c>
      <c r="X30" s="525"/>
      <c r="Y30" s="391">
        <f>SUM(Y25:Y29)</f>
        <v>4398</v>
      </c>
      <c r="Z30" s="528">
        <f t="shared" si="8"/>
        <v>2.5334393253378495E-2</v>
      </c>
      <c r="AA30" s="572"/>
      <c r="AB30" s="615"/>
      <c r="AC30" s="596">
        <f t="shared" ref="AC30:AH30" si="11">SUM(AC25:AC29)</f>
        <v>0</v>
      </c>
      <c r="AD30" s="538">
        <f t="shared" si="11"/>
        <v>0</v>
      </c>
      <c r="AE30" s="538">
        <f t="shared" si="11"/>
        <v>0</v>
      </c>
      <c r="AF30" s="597">
        <f t="shared" si="11"/>
        <v>0</v>
      </c>
      <c r="AG30" s="557">
        <f t="shared" si="11"/>
        <v>0</v>
      </c>
      <c r="AH30" s="558">
        <f t="shared" si="11"/>
        <v>177996</v>
      </c>
      <c r="AI30" s="495"/>
      <c r="AJ30" s="502">
        <f>SUM(AJ25:AJ29)</f>
        <v>4398</v>
      </c>
      <c r="AK30" s="534">
        <f>IF(B21=0,0,AJ30/B30)</f>
        <v>2.5334393253378495E-2</v>
      </c>
      <c r="AL30" s="544"/>
      <c r="AM30" s="547">
        <f>SUM(AM25:AM29)</f>
        <v>0</v>
      </c>
      <c r="AN30" s="580">
        <f>IF(W30=0,0,AM30/W30)</f>
        <v>0</v>
      </c>
      <c r="AO30" s="207"/>
      <c r="AP30" s="616"/>
      <c r="AQ30" s="632"/>
      <c r="AR30" s="207"/>
      <c r="AZ30" s="238">
        <f>SUM(AZ25:AZ29)</f>
        <v>0</v>
      </c>
      <c r="BD30" s="97">
        <f>SUM(BD25:BD29)</f>
        <v>4672306</v>
      </c>
    </row>
    <row r="31" spans="1:56" ht="16.5" x14ac:dyDescent="0.3">
      <c r="A31" s="19" t="s">
        <v>20</v>
      </c>
      <c r="B31" s="424">
        <f>+B19+B24+B30</f>
        <v>3566387</v>
      </c>
      <c r="C31" s="370">
        <f t="shared" ref="C31:K31" si="12">+C19+C24+C30</f>
        <v>0</v>
      </c>
      <c r="D31" s="470">
        <f t="shared" si="12"/>
        <v>3815109</v>
      </c>
      <c r="E31" s="340">
        <f t="shared" si="12"/>
        <v>6938</v>
      </c>
      <c r="F31" s="341">
        <f t="shared" si="12"/>
        <v>11215</v>
      </c>
      <c r="G31" s="342">
        <f t="shared" si="12"/>
        <v>3949</v>
      </c>
      <c r="H31" s="341">
        <f t="shared" si="12"/>
        <v>68181</v>
      </c>
      <c r="I31" s="343">
        <f t="shared" si="12"/>
        <v>61925</v>
      </c>
      <c r="J31" s="76">
        <f t="shared" si="12"/>
        <v>152208</v>
      </c>
      <c r="K31" s="80">
        <f t="shared" si="12"/>
        <v>75000</v>
      </c>
      <c r="L31" s="296">
        <f>+L19+L24+L30</f>
        <v>0</v>
      </c>
      <c r="M31" s="260">
        <f t="shared" ref="M31:W31" si="13">+M19+M24+M30</f>
        <v>0</v>
      </c>
      <c r="N31" s="98">
        <f t="shared" si="13"/>
        <v>75000</v>
      </c>
      <c r="O31" s="436">
        <f t="shared" si="13"/>
        <v>227208</v>
      </c>
      <c r="P31" s="289">
        <f t="shared" si="13"/>
        <v>0</v>
      </c>
      <c r="Q31" s="269">
        <f t="shared" si="13"/>
        <v>0</v>
      </c>
      <c r="R31" s="296">
        <f t="shared" si="13"/>
        <v>0</v>
      </c>
      <c r="S31" s="269">
        <f t="shared" si="13"/>
        <v>0</v>
      </c>
      <c r="T31" s="296">
        <f t="shared" si="13"/>
        <v>0</v>
      </c>
      <c r="U31" s="269">
        <f t="shared" si="13"/>
        <v>0</v>
      </c>
      <c r="V31" s="424">
        <f t="shared" si="13"/>
        <v>0</v>
      </c>
      <c r="W31" s="418">
        <f t="shared" si="13"/>
        <v>3793595</v>
      </c>
      <c r="X31" s="525"/>
      <c r="Y31" s="38">
        <f>+Y19+Y24+Y30</f>
        <v>227208</v>
      </c>
      <c r="Z31" s="518">
        <f t="shared" si="8"/>
        <v>6.3708173005341262E-2</v>
      </c>
      <c r="AA31" s="572"/>
      <c r="AB31" s="615"/>
      <c r="AC31" s="598">
        <f>SUM(AC30+AC24+AC19)</f>
        <v>0</v>
      </c>
      <c r="AD31" s="539">
        <f>SUM(AD30+AD24+AD19)</f>
        <v>0</v>
      </c>
      <c r="AE31" s="539">
        <f>SUM(AE30+AE24+AE19)</f>
        <v>0</v>
      </c>
      <c r="AF31" s="599">
        <f>SUM(AF30+AF24+AF19)</f>
        <v>0</v>
      </c>
      <c r="AG31" s="559">
        <f>SUM(AG30+AG24+AG20)</f>
        <v>0</v>
      </c>
      <c r="AH31" s="560">
        <f>SUM(AH30+AH24+AH19)</f>
        <v>3793595</v>
      </c>
      <c r="AI31" s="495"/>
      <c r="AJ31" s="503">
        <f>SUM(AJ30+AJ24+AJ19)</f>
        <v>227208</v>
      </c>
      <c r="AK31" s="535">
        <f>IF(B21=0,0,AJ31/B31)</f>
        <v>6.3708173005341262E-2</v>
      </c>
      <c r="AL31" s="544"/>
      <c r="AM31" s="548">
        <f>SUM(AM30+AM24+AM19)</f>
        <v>0</v>
      </c>
      <c r="AN31" s="581">
        <f t="shared" si="9"/>
        <v>0</v>
      </c>
      <c r="AO31" s="207"/>
      <c r="AP31" s="616"/>
      <c r="AQ31" s="632"/>
      <c r="AR31" s="207"/>
      <c r="AZ31" s="260">
        <f>+AZ19+AZ24+AZ30</f>
        <v>0</v>
      </c>
      <c r="BD31" s="98">
        <f>+BD19+BD24+BD30</f>
        <v>495081961</v>
      </c>
    </row>
    <row r="32" spans="1:56" ht="16.5" x14ac:dyDescent="0.3">
      <c r="A32" s="16"/>
      <c r="B32" s="425"/>
      <c r="C32" s="376"/>
      <c r="D32" s="471"/>
      <c r="E32" s="351"/>
      <c r="F32" s="352"/>
      <c r="G32" s="174"/>
      <c r="H32" s="303"/>
      <c r="I32" s="176"/>
      <c r="J32" s="74"/>
      <c r="K32" s="207"/>
      <c r="L32" s="293"/>
      <c r="M32" s="217"/>
      <c r="N32" s="95"/>
      <c r="O32" s="433"/>
      <c r="P32" s="286"/>
      <c r="Q32" s="58"/>
      <c r="R32" s="293"/>
      <c r="S32" s="58"/>
      <c r="T32" s="293"/>
      <c r="U32" s="58"/>
      <c r="V32" s="425"/>
      <c r="W32" s="416"/>
      <c r="X32" s="525"/>
      <c r="Y32" s="353"/>
      <c r="Z32" s="516"/>
      <c r="AA32" s="572"/>
      <c r="AB32" s="615"/>
      <c r="AC32" s="592"/>
      <c r="AD32" s="511"/>
      <c r="AE32" s="511"/>
      <c r="AF32" s="593"/>
      <c r="AG32" s="553"/>
      <c r="AH32" s="561"/>
      <c r="AI32" s="495"/>
      <c r="AJ32" s="501"/>
      <c r="AK32" s="532"/>
      <c r="AL32" s="544"/>
      <c r="AM32" s="124"/>
      <c r="AN32" s="127"/>
      <c r="AO32" s="207"/>
      <c r="AP32" s="616"/>
      <c r="AQ32" s="632"/>
      <c r="AR32" s="207"/>
      <c r="AZ32" s="207"/>
      <c r="BD32" s="95"/>
    </row>
    <row r="33" spans="1:56" ht="16.5" x14ac:dyDescent="0.3">
      <c r="A33" s="447" t="s">
        <v>99</v>
      </c>
      <c r="B33" s="462"/>
      <c r="C33" s="377"/>
      <c r="D33" s="472"/>
      <c r="E33" s="354"/>
      <c r="F33" s="359"/>
      <c r="G33" s="355"/>
      <c r="H33" s="359"/>
      <c r="I33" s="362"/>
      <c r="J33" s="356"/>
      <c r="K33" s="360"/>
      <c r="L33" s="361"/>
      <c r="M33" s="362"/>
      <c r="N33" s="356"/>
      <c r="O33" s="437"/>
      <c r="P33" s="360"/>
      <c r="Q33" s="361"/>
      <c r="R33" s="361"/>
      <c r="S33" s="361"/>
      <c r="T33" s="361"/>
      <c r="U33" s="361"/>
      <c r="V33" s="442"/>
      <c r="W33" s="442"/>
      <c r="X33" s="525"/>
      <c r="Y33" s="448"/>
      <c r="Z33" s="519"/>
      <c r="AA33" s="573"/>
      <c r="AB33" s="617"/>
      <c r="AC33" s="592"/>
      <c r="AD33" s="511"/>
      <c r="AE33" s="511"/>
      <c r="AF33" s="593"/>
      <c r="AG33" s="553"/>
      <c r="AH33" s="561"/>
      <c r="AI33" s="495"/>
      <c r="AJ33" s="501"/>
      <c r="AK33" s="532"/>
      <c r="AL33" s="544"/>
      <c r="AM33" s="124"/>
      <c r="AN33" s="127"/>
      <c r="AO33" s="207"/>
      <c r="AP33" s="616"/>
      <c r="AQ33" s="632"/>
      <c r="AR33" s="207"/>
      <c r="AZ33" s="207"/>
      <c r="BD33" s="95"/>
    </row>
    <row r="34" spans="1:56" ht="16.5" x14ac:dyDescent="0.3">
      <c r="A34" s="449" t="s">
        <v>107</v>
      </c>
      <c r="B34" s="425">
        <v>717970</v>
      </c>
      <c r="C34" s="39">
        <v>0</v>
      </c>
      <c r="D34" s="473">
        <v>800000</v>
      </c>
      <c r="E34" s="444">
        <v>0</v>
      </c>
      <c r="F34" s="404">
        <v>0</v>
      </c>
      <c r="G34" s="450">
        <v>0</v>
      </c>
      <c r="H34" s="404">
        <v>0</v>
      </c>
      <c r="I34" s="451">
        <v>0</v>
      </c>
      <c r="J34" s="74">
        <f>SUM(E34:I34)</f>
        <v>0</v>
      </c>
      <c r="K34" s="286">
        <f>F34+I34+J34</f>
        <v>0</v>
      </c>
      <c r="L34" s="293">
        <v>100000</v>
      </c>
      <c r="M34" s="280">
        <v>0</v>
      </c>
      <c r="N34" s="237">
        <f>SUM(K34:M34)</f>
        <v>100000</v>
      </c>
      <c r="O34" s="425">
        <f>+J34+N34</f>
        <v>100000</v>
      </c>
      <c r="P34" s="406">
        <v>0</v>
      </c>
      <c r="Q34" s="319">
        <v>0</v>
      </c>
      <c r="R34" s="319">
        <v>0</v>
      </c>
      <c r="S34" s="319">
        <v>0</v>
      </c>
      <c r="T34" s="319">
        <v>0</v>
      </c>
      <c r="U34" s="319">
        <v>0</v>
      </c>
      <c r="V34" s="425">
        <f>SUM(P34:U34)</f>
        <v>0</v>
      </c>
      <c r="W34" s="416">
        <f>+B34+O34+V34</f>
        <v>817970</v>
      </c>
      <c r="X34" s="525"/>
      <c r="Y34" s="390">
        <f>W34-B34</f>
        <v>100000</v>
      </c>
      <c r="Z34" s="516">
        <f>IF(B34=0,0,Y34/B34)</f>
        <v>0.13928158558157025</v>
      </c>
      <c r="AA34" s="572"/>
      <c r="AB34" s="615"/>
      <c r="AC34" s="592">
        <v>0</v>
      </c>
      <c r="AD34" s="511">
        <v>0</v>
      </c>
      <c r="AE34" s="511">
        <v>0</v>
      </c>
      <c r="AF34" s="593">
        <v>0</v>
      </c>
      <c r="AG34" s="553">
        <f>SUM(AC34:AF34)</f>
        <v>0</v>
      </c>
      <c r="AH34" s="554">
        <f>SUM(W34+AG34)</f>
        <v>817970</v>
      </c>
      <c r="AI34" s="495"/>
      <c r="AJ34" s="501">
        <f>SUM(AH34-B34)</f>
        <v>100000</v>
      </c>
      <c r="AK34" s="532">
        <f>IF(B34=0,0,AJ34/B34)</f>
        <v>0.13928158558157025</v>
      </c>
      <c r="AL34" s="544"/>
      <c r="AM34" s="124">
        <f>AH34-W34</f>
        <v>0</v>
      </c>
      <c r="AN34" s="127">
        <f>IF(W34=0,0,AM34/W34)</f>
        <v>0</v>
      </c>
      <c r="AO34" s="207"/>
      <c r="AP34" s="616"/>
      <c r="AQ34" s="632"/>
      <c r="AR34" s="207"/>
      <c r="AZ34" s="207"/>
      <c r="BD34" s="95"/>
    </row>
    <row r="35" spans="1:56" ht="16.5" x14ac:dyDescent="0.3">
      <c r="A35" s="453" t="s">
        <v>108</v>
      </c>
      <c r="B35" s="425">
        <v>0</v>
      </c>
      <c r="C35" s="39">
        <v>0</v>
      </c>
      <c r="D35" s="473">
        <v>0</v>
      </c>
      <c r="E35" s="444">
        <v>0</v>
      </c>
      <c r="F35" s="404">
        <v>0</v>
      </c>
      <c r="G35" s="403">
        <v>0</v>
      </c>
      <c r="H35" s="404">
        <v>0</v>
      </c>
      <c r="I35" s="405">
        <v>0</v>
      </c>
      <c r="J35" s="445">
        <f>SUM(E35:I35)</f>
        <v>0</v>
      </c>
      <c r="K35" s="207">
        <v>0</v>
      </c>
      <c r="L35" s="293">
        <v>0</v>
      </c>
      <c r="M35" s="217">
        <v>0</v>
      </c>
      <c r="N35" s="446">
        <f>SUM(K35:M35)</f>
        <v>0</v>
      </c>
      <c r="O35" s="426">
        <f>+J35+N35</f>
        <v>0</v>
      </c>
      <c r="P35" s="406">
        <v>0</v>
      </c>
      <c r="Q35" s="42">
        <v>0</v>
      </c>
      <c r="R35" s="319">
        <v>0</v>
      </c>
      <c r="S35" s="42">
        <v>0</v>
      </c>
      <c r="T35" s="42">
        <v>0</v>
      </c>
      <c r="U35" s="42">
        <v>0</v>
      </c>
      <c r="V35" s="426">
        <f>SUM(P35:U35)</f>
        <v>0</v>
      </c>
      <c r="W35" s="416">
        <f>+B35+O35+V35</f>
        <v>0</v>
      </c>
      <c r="X35" s="525"/>
      <c r="Y35" s="390">
        <f>W35-B35</f>
        <v>0</v>
      </c>
      <c r="Z35" s="516">
        <f>IF(B35=0,0,Y35/B35)</f>
        <v>0</v>
      </c>
      <c r="AA35" s="572"/>
      <c r="AB35" s="615"/>
      <c r="AC35" s="592">
        <v>0</v>
      </c>
      <c r="AD35" s="511">
        <v>0</v>
      </c>
      <c r="AE35" s="511">
        <v>0</v>
      </c>
      <c r="AF35" s="593">
        <v>0</v>
      </c>
      <c r="AG35" s="553">
        <f>SUM(AC35:AF35)</f>
        <v>0</v>
      </c>
      <c r="AH35" s="554">
        <f>SUM(W35+AG35)</f>
        <v>0</v>
      </c>
      <c r="AI35" s="495"/>
      <c r="AJ35" s="504">
        <f>SUM(AH35-B35)</f>
        <v>0</v>
      </c>
      <c r="AK35" s="532">
        <f>IF(B35=0,0,AJ35/B35)</f>
        <v>0</v>
      </c>
      <c r="AL35" s="544"/>
      <c r="AM35" s="124">
        <f>AH35-W35</f>
        <v>0</v>
      </c>
      <c r="AN35" s="127">
        <f>IF(W35=0,0,AM35/W35)</f>
        <v>0</v>
      </c>
      <c r="AO35" s="207"/>
      <c r="AP35" s="616"/>
      <c r="AQ35" s="632"/>
      <c r="AR35" s="207"/>
      <c r="AZ35" s="207"/>
      <c r="BD35" s="95"/>
    </row>
    <row r="36" spans="1:56" ht="16.5" x14ac:dyDescent="0.3">
      <c r="A36" s="443" t="s">
        <v>109</v>
      </c>
      <c r="B36" s="424">
        <f t="shared" ref="B36:W36" si="14">SUM(B34:B35)</f>
        <v>717970</v>
      </c>
      <c r="C36" s="41">
        <f t="shared" si="14"/>
        <v>0</v>
      </c>
      <c r="D36" s="474">
        <f t="shared" si="14"/>
        <v>800000</v>
      </c>
      <c r="E36" s="365">
        <f t="shared" si="14"/>
        <v>0</v>
      </c>
      <c r="F36" s="366">
        <f t="shared" si="14"/>
        <v>0</v>
      </c>
      <c r="G36" s="408">
        <f t="shared" si="14"/>
        <v>0</v>
      </c>
      <c r="H36" s="366">
        <f t="shared" si="14"/>
        <v>0</v>
      </c>
      <c r="I36" s="409">
        <f t="shared" si="14"/>
        <v>0</v>
      </c>
      <c r="J36" s="76">
        <f t="shared" si="14"/>
        <v>0</v>
      </c>
      <c r="K36" s="80">
        <f t="shared" si="14"/>
        <v>0</v>
      </c>
      <c r="L36" s="296">
        <f t="shared" si="14"/>
        <v>100000</v>
      </c>
      <c r="M36" s="260">
        <f t="shared" si="14"/>
        <v>0</v>
      </c>
      <c r="N36" s="396">
        <f t="shared" si="14"/>
        <v>100000</v>
      </c>
      <c r="O36" s="438">
        <f t="shared" si="14"/>
        <v>100000</v>
      </c>
      <c r="P36" s="367">
        <f t="shared" si="14"/>
        <v>0</v>
      </c>
      <c r="Q36" s="44">
        <f t="shared" si="14"/>
        <v>0</v>
      </c>
      <c r="R36" s="368">
        <f t="shared" si="14"/>
        <v>0</v>
      </c>
      <c r="S36" s="44">
        <f t="shared" si="14"/>
        <v>0</v>
      </c>
      <c r="T36" s="44">
        <f t="shared" si="14"/>
        <v>0</v>
      </c>
      <c r="U36" s="44">
        <f t="shared" si="14"/>
        <v>0</v>
      </c>
      <c r="V36" s="424">
        <f t="shared" si="14"/>
        <v>0</v>
      </c>
      <c r="W36" s="418">
        <f t="shared" si="14"/>
        <v>817970</v>
      </c>
      <c r="X36" s="526"/>
      <c r="Y36" s="392">
        <f>SUM(Y34:Y35)</f>
        <v>100000</v>
      </c>
      <c r="Z36" s="518">
        <f>IF(B36=0,0,Y36/B36)</f>
        <v>0.13928158558157025</v>
      </c>
      <c r="AA36" s="572"/>
      <c r="AB36" s="615"/>
      <c r="AC36" s="598">
        <f t="shared" ref="AC36:AH36" si="15">SUM(AC34:AC35)</f>
        <v>0</v>
      </c>
      <c r="AD36" s="539">
        <f t="shared" si="15"/>
        <v>0</v>
      </c>
      <c r="AE36" s="539">
        <f t="shared" si="15"/>
        <v>0</v>
      </c>
      <c r="AF36" s="599">
        <f t="shared" si="15"/>
        <v>0</v>
      </c>
      <c r="AG36" s="559">
        <f t="shared" si="15"/>
        <v>0</v>
      </c>
      <c r="AH36" s="560">
        <f t="shared" si="15"/>
        <v>817970</v>
      </c>
      <c r="AI36" s="496"/>
      <c r="AJ36" s="503">
        <f>SUM(AJ34:AJ35)</f>
        <v>100000</v>
      </c>
      <c r="AK36" s="535">
        <f>IF(B36=0,0,AJ36/B36)</f>
        <v>0.13928158558157025</v>
      </c>
      <c r="AL36" s="544"/>
      <c r="AM36" s="548">
        <f>SUM(AM34:AM35)</f>
        <v>0</v>
      </c>
      <c r="AN36" s="128">
        <f>IF(W36=0,0,AM36/W36)</f>
        <v>0</v>
      </c>
      <c r="AO36" s="207"/>
      <c r="AP36" s="616"/>
      <c r="AQ36" s="632"/>
      <c r="AR36" s="207"/>
      <c r="AZ36" s="207"/>
      <c r="BD36" s="95"/>
    </row>
    <row r="37" spans="1:56" ht="16.5" x14ac:dyDescent="0.3">
      <c r="A37" s="16"/>
      <c r="B37" s="425"/>
      <c r="C37" s="376"/>
      <c r="D37" s="471"/>
      <c r="E37" s="407"/>
      <c r="F37" s="303"/>
      <c r="G37" s="174"/>
      <c r="H37" s="303"/>
      <c r="I37" s="176"/>
      <c r="J37" s="74"/>
      <c r="K37" s="207"/>
      <c r="L37" s="293"/>
      <c r="M37" s="217"/>
      <c r="N37" s="95"/>
      <c r="O37" s="433"/>
      <c r="P37" s="286"/>
      <c r="Q37" s="58"/>
      <c r="R37" s="293"/>
      <c r="S37" s="58"/>
      <c r="T37" s="293"/>
      <c r="U37" s="58"/>
      <c r="V37" s="425"/>
      <c r="W37" s="416"/>
      <c r="X37" s="525"/>
      <c r="Y37" s="353"/>
      <c r="Z37" s="516"/>
      <c r="AA37" s="572"/>
      <c r="AB37" s="615"/>
      <c r="AC37" s="592"/>
      <c r="AD37" s="511"/>
      <c r="AE37" s="511"/>
      <c r="AF37" s="593"/>
      <c r="AG37" s="553"/>
      <c r="AH37" s="561"/>
      <c r="AI37" s="495"/>
      <c r="AJ37" s="501"/>
      <c r="AK37" s="532"/>
      <c r="AL37" s="544"/>
      <c r="AM37" s="124"/>
      <c r="AN37" s="127"/>
      <c r="AO37" s="207"/>
      <c r="AP37" s="616"/>
      <c r="AQ37" s="632"/>
      <c r="AR37" s="207"/>
      <c r="AZ37" s="207"/>
      <c r="BD37" s="95"/>
    </row>
    <row r="38" spans="1:56" ht="16.5" x14ac:dyDescent="0.3">
      <c r="A38" s="20" t="s">
        <v>18</v>
      </c>
      <c r="B38" s="425"/>
      <c r="C38" s="376"/>
      <c r="D38" s="471"/>
      <c r="E38" s="363"/>
      <c r="F38" s="364"/>
      <c r="G38" s="174"/>
      <c r="H38" s="303"/>
      <c r="I38" s="176"/>
      <c r="J38" s="74"/>
      <c r="K38" s="207"/>
      <c r="L38" s="293"/>
      <c r="M38" s="217"/>
      <c r="N38" s="95"/>
      <c r="O38" s="433"/>
      <c r="P38" s="286"/>
      <c r="Q38" s="58"/>
      <c r="R38" s="293"/>
      <c r="S38" s="58"/>
      <c r="T38" s="293"/>
      <c r="U38" s="58"/>
      <c r="V38" s="425"/>
      <c r="W38" s="419"/>
      <c r="X38" s="525"/>
      <c r="Y38" s="393"/>
      <c r="Z38" s="516"/>
      <c r="AA38" s="572"/>
      <c r="AB38" s="615"/>
      <c r="AC38" s="592"/>
      <c r="AD38" s="511"/>
      <c r="AE38" s="511"/>
      <c r="AF38" s="593"/>
      <c r="AG38" s="553"/>
      <c r="AH38" s="561"/>
      <c r="AI38" s="495"/>
      <c r="AJ38" s="501"/>
      <c r="AK38" s="532"/>
      <c r="AL38" s="544"/>
      <c r="AM38" s="124"/>
      <c r="AN38" s="127"/>
      <c r="AO38" s="207"/>
      <c r="AP38" s="616"/>
      <c r="AQ38" s="632"/>
      <c r="AR38" s="207"/>
      <c r="AZ38" s="207"/>
      <c r="BD38" s="95"/>
    </row>
    <row r="39" spans="1:56" ht="16.5" x14ac:dyDescent="0.3">
      <c r="A39" s="16" t="s">
        <v>15</v>
      </c>
      <c r="B39" s="425">
        <v>73614</v>
      </c>
      <c r="C39" s="376">
        <v>0</v>
      </c>
      <c r="D39" s="471">
        <v>76981</v>
      </c>
      <c r="E39" s="207">
        <v>0</v>
      </c>
      <c r="F39" s="58">
        <v>0</v>
      </c>
      <c r="G39" s="207">
        <v>1126</v>
      </c>
      <c r="H39" s="58">
        <v>0</v>
      </c>
      <c r="I39" s="217">
        <v>965</v>
      </c>
      <c r="J39" s="74">
        <f>SUM(E39:I39)</f>
        <v>2091</v>
      </c>
      <c r="K39" s="207">
        <v>0</v>
      </c>
      <c r="L39" s="293">
        <v>0</v>
      </c>
      <c r="M39" s="217">
        <v>0</v>
      </c>
      <c r="N39" s="237">
        <f>SUM(K39:M39)</f>
        <v>0</v>
      </c>
      <c r="O39" s="433">
        <f>+J39+N39</f>
        <v>2091</v>
      </c>
      <c r="P39" s="286">
        <v>0</v>
      </c>
      <c r="Q39" s="58">
        <v>0</v>
      </c>
      <c r="R39" s="293">
        <v>0</v>
      </c>
      <c r="S39" s="58">
        <v>0</v>
      </c>
      <c r="T39" s="293">
        <v>0</v>
      </c>
      <c r="U39" s="58">
        <v>0</v>
      </c>
      <c r="V39" s="425">
        <f>SUM(P39:U39)</f>
        <v>0</v>
      </c>
      <c r="W39" s="416">
        <f>+B39+O39+V39</f>
        <v>75705</v>
      </c>
      <c r="X39" s="525"/>
      <c r="Y39" s="390">
        <f>W39-B39</f>
        <v>2091</v>
      </c>
      <c r="Z39" s="516">
        <f>IF(B39=0,0,Y39/B39)</f>
        <v>2.840492297660771E-2</v>
      </c>
      <c r="AA39" s="572"/>
      <c r="AB39" s="615"/>
      <c r="AC39" s="592">
        <v>0</v>
      </c>
      <c r="AD39" s="511">
        <v>0</v>
      </c>
      <c r="AE39" s="511">
        <v>0</v>
      </c>
      <c r="AF39" s="593">
        <v>0</v>
      </c>
      <c r="AG39" s="553">
        <f>SUM(AC39:AF39)</f>
        <v>0</v>
      </c>
      <c r="AH39" s="554">
        <f>SUM(W39+AG39)</f>
        <v>75705</v>
      </c>
      <c r="AI39" s="495"/>
      <c r="AJ39" s="501">
        <f>SUM(AH39-B39)</f>
        <v>2091</v>
      </c>
      <c r="AK39" s="532">
        <f>IF(B35=0,0,AJ39/B39)</f>
        <v>0</v>
      </c>
      <c r="AL39" s="544"/>
      <c r="AM39" s="124">
        <f>SUM(AH39-W39)</f>
        <v>0</v>
      </c>
      <c r="AN39" s="127">
        <f>IF(W39=0,0,AM39/W39)</f>
        <v>0</v>
      </c>
      <c r="AO39" s="207"/>
      <c r="AP39" s="616"/>
      <c r="AQ39" s="632"/>
      <c r="AR39" s="207"/>
      <c r="AZ39" s="207"/>
      <c r="BD39" s="95">
        <v>0</v>
      </c>
    </row>
    <row r="40" spans="1:56" ht="16.5" x14ac:dyDescent="0.3">
      <c r="A40" s="16" t="s">
        <v>31</v>
      </c>
      <c r="B40" s="425">
        <v>99423</v>
      </c>
      <c r="C40" s="376">
        <v>0</v>
      </c>
      <c r="D40" s="471">
        <v>103036</v>
      </c>
      <c r="E40" s="207">
        <v>0</v>
      </c>
      <c r="F40" s="58">
        <v>0</v>
      </c>
      <c r="G40" s="207">
        <v>1583</v>
      </c>
      <c r="H40" s="58">
        <v>0</v>
      </c>
      <c r="I40" s="217">
        <v>1430</v>
      </c>
      <c r="J40" s="74">
        <f>SUM(E40:I40)</f>
        <v>3013</v>
      </c>
      <c r="K40" s="207">
        <v>0</v>
      </c>
      <c r="L40" s="293">
        <v>0</v>
      </c>
      <c r="M40" s="217">
        <v>0</v>
      </c>
      <c r="N40" s="237">
        <f>SUM(K40:M40)</f>
        <v>0</v>
      </c>
      <c r="O40" s="433">
        <f>+J40+N40</f>
        <v>3013</v>
      </c>
      <c r="P40" s="286">
        <v>0</v>
      </c>
      <c r="Q40" s="58">
        <v>0</v>
      </c>
      <c r="R40" s="293">
        <v>0</v>
      </c>
      <c r="S40" s="58">
        <v>0</v>
      </c>
      <c r="T40" s="293">
        <v>0</v>
      </c>
      <c r="U40" s="58">
        <v>0</v>
      </c>
      <c r="V40" s="425">
        <f>SUM(P40:U40)</f>
        <v>0</v>
      </c>
      <c r="W40" s="416">
        <f>+B40+O40+V40</f>
        <v>102436</v>
      </c>
      <c r="X40" s="525"/>
      <c r="Y40" s="390">
        <f>W40-B40</f>
        <v>3013</v>
      </c>
      <c r="Z40" s="516">
        <f t="shared" ref="Z40:Z45" si="16">IF(B40=0,0,Y40/B40)</f>
        <v>3.0304859036641422E-2</v>
      </c>
      <c r="AA40" s="572"/>
      <c r="AB40" s="615"/>
      <c r="AC40" s="592">
        <v>0</v>
      </c>
      <c r="AD40" s="511">
        <v>0</v>
      </c>
      <c r="AE40" s="511">
        <v>0</v>
      </c>
      <c r="AF40" s="593">
        <v>0</v>
      </c>
      <c r="AG40" s="553">
        <f>SUM(AC40:AF40)</f>
        <v>0</v>
      </c>
      <c r="AH40" s="554">
        <f>SUM(W40+AG40)</f>
        <v>102436</v>
      </c>
      <c r="AI40" s="495"/>
      <c r="AJ40" s="501">
        <f>SUM(AH40-B40)</f>
        <v>3013</v>
      </c>
      <c r="AK40" s="532">
        <f>IF(B36=0,0,AJ40/B40)</f>
        <v>3.0304859036641422E-2</v>
      </c>
      <c r="AL40" s="544"/>
      <c r="AM40" s="124">
        <f>SUM(AH40-W40)</f>
        <v>0</v>
      </c>
      <c r="AN40" s="127">
        <f t="shared" ref="AN40:AN45" si="17">IF(W40=0,0,AM40/W40)</f>
        <v>0</v>
      </c>
      <c r="AO40" s="207"/>
      <c r="AP40" s="616"/>
      <c r="AQ40" s="632"/>
      <c r="AR40" s="207"/>
      <c r="AZ40" s="207"/>
      <c r="BD40" s="95">
        <v>0</v>
      </c>
    </row>
    <row r="41" spans="1:56" ht="16.5" x14ac:dyDescent="0.3">
      <c r="A41" s="16" t="s">
        <v>32</v>
      </c>
      <c r="B41" s="425">
        <v>105048</v>
      </c>
      <c r="C41" s="376">
        <v>0</v>
      </c>
      <c r="D41" s="471">
        <v>132377</v>
      </c>
      <c r="E41" s="207">
        <v>0</v>
      </c>
      <c r="F41" s="58">
        <v>0</v>
      </c>
      <c r="G41" s="207">
        <v>1787</v>
      </c>
      <c r="H41" s="58">
        <v>0</v>
      </c>
      <c r="I41" s="217">
        <v>0</v>
      </c>
      <c r="J41" s="74">
        <f>SUM(E41:I41)</f>
        <v>1787</v>
      </c>
      <c r="K41" s="207">
        <v>0</v>
      </c>
      <c r="L41" s="293">
        <v>0</v>
      </c>
      <c r="M41" s="217">
        <v>100000</v>
      </c>
      <c r="N41" s="95">
        <f>SUM(K41:M41)</f>
        <v>100000</v>
      </c>
      <c r="O41" s="433">
        <f>+J41+N41</f>
        <v>101787</v>
      </c>
      <c r="P41" s="286">
        <v>0</v>
      </c>
      <c r="Q41" s="58">
        <v>0</v>
      </c>
      <c r="R41" s="293">
        <v>0</v>
      </c>
      <c r="S41" s="58">
        <v>0</v>
      </c>
      <c r="T41" s="293">
        <v>0</v>
      </c>
      <c r="U41" s="58">
        <v>0</v>
      </c>
      <c r="V41" s="425">
        <f>SUM(P41:U41)</f>
        <v>0</v>
      </c>
      <c r="W41" s="416">
        <f>+B41+O41+V41</f>
        <v>206835</v>
      </c>
      <c r="X41" s="525"/>
      <c r="Y41" s="390">
        <f>W41-B41</f>
        <v>101787</v>
      </c>
      <c r="Z41" s="516">
        <f t="shared" si="16"/>
        <v>0.96895704820653417</v>
      </c>
      <c r="AA41" s="572"/>
      <c r="AB41" s="615"/>
      <c r="AC41" s="592">
        <v>0</v>
      </c>
      <c r="AD41" s="511">
        <v>0</v>
      </c>
      <c r="AE41" s="511">
        <v>0</v>
      </c>
      <c r="AF41" s="593">
        <v>0</v>
      </c>
      <c r="AG41" s="553">
        <f>SUM(AC41:AF41)</f>
        <v>0</v>
      </c>
      <c r="AH41" s="554">
        <f>SUM(W41+AG41)</f>
        <v>206835</v>
      </c>
      <c r="AI41" s="495"/>
      <c r="AJ41" s="505">
        <f>SUM(AH41-B41)</f>
        <v>101787</v>
      </c>
      <c r="AK41" s="532">
        <f>IF(B41=0,0,AJ41/B41)</f>
        <v>0.96895704820653417</v>
      </c>
      <c r="AL41" s="544"/>
      <c r="AM41" s="124">
        <f>SUM(AH41-W41)</f>
        <v>0</v>
      </c>
      <c r="AN41" s="127">
        <f t="shared" si="17"/>
        <v>0</v>
      </c>
      <c r="AO41" s="207"/>
      <c r="AP41" s="616"/>
      <c r="AQ41" s="632"/>
      <c r="AR41" s="207"/>
      <c r="AZ41" s="207"/>
      <c r="BD41" s="95">
        <v>0</v>
      </c>
    </row>
    <row r="42" spans="1:56" ht="16.5" x14ac:dyDescent="0.3">
      <c r="A42" s="16" t="s">
        <v>33</v>
      </c>
      <c r="B42" s="425">
        <v>222610</v>
      </c>
      <c r="C42" s="376">
        <v>0</v>
      </c>
      <c r="D42" s="471">
        <v>233858</v>
      </c>
      <c r="E42" s="207">
        <v>1026</v>
      </c>
      <c r="F42" s="58">
        <v>731</v>
      </c>
      <c r="G42" s="207">
        <v>1907</v>
      </c>
      <c r="H42" s="58">
        <v>1062</v>
      </c>
      <c r="I42" s="217">
        <v>3971</v>
      </c>
      <c r="J42" s="74">
        <f>SUM(E42:I42)</f>
        <v>8697</v>
      </c>
      <c r="K42" s="268">
        <v>0</v>
      </c>
      <c r="L42" s="320">
        <v>0</v>
      </c>
      <c r="M42" s="217">
        <v>0</v>
      </c>
      <c r="N42" s="237">
        <f>SUM(K42:M42)</f>
        <v>0</v>
      </c>
      <c r="O42" s="433">
        <f>+J42+N42</f>
        <v>8697</v>
      </c>
      <c r="P42" s="286">
        <v>0</v>
      </c>
      <c r="Q42" s="58">
        <v>0</v>
      </c>
      <c r="R42" s="293">
        <v>0</v>
      </c>
      <c r="S42" s="58">
        <v>0</v>
      </c>
      <c r="T42" s="293">
        <v>0</v>
      </c>
      <c r="U42" s="58">
        <v>0</v>
      </c>
      <c r="V42" s="425">
        <f>SUM(P42:U42)</f>
        <v>0</v>
      </c>
      <c r="W42" s="416">
        <f>+B42+O42+V42</f>
        <v>231307</v>
      </c>
      <c r="X42" s="525"/>
      <c r="Y42" s="390">
        <f>W42-B42</f>
        <v>8697</v>
      </c>
      <c r="Z42" s="516">
        <f t="shared" si="16"/>
        <v>3.9068325771528682E-2</v>
      </c>
      <c r="AA42" s="572"/>
      <c r="AB42" s="615"/>
      <c r="AC42" s="592">
        <v>0</v>
      </c>
      <c r="AD42" s="511">
        <v>0</v>
      </c>
      <c r="AE42" s="511">
        <v>0</v>
      </c>
      <c r="AF42" s="593">
        <v>0</v>
      </c>
      <c r="AG42" s="553">
        <f>SUM(AC42:AF42)</f>
        <v>0</v>
      </c>
      <c r="AH42" s="554">
        <f>SUM(W42+AG42)</f>
        <v>231307</v>
      </c>
      <c r="AI42" s="495"/>
      <c r="AJ42" s="501">
        <f>SUM(AH42-B42)</f>
        <v>8697</v>
      </c>
      <c r="AK42" s="532">
        <f>IF(B42=0,0,AJ42/B42)</f>
        <v>3.9068325771528682E-2</v>
      </c>
      <c r="AL42" s="544"/>
      <c r="AM42" s="124">
        <f>SUM(AH42-W42)</f>
        <v>0</v>
      </c>
      <c r="AN42" s="127">
        <f t="shared" si="17"/>
        <v>0</v>
      </c>
      <c r="AO42" s="207"/>
      <c r="AP42" s="616"/>
      <c r="AQ42" s="632"/>
      <c r="AR42" s="207"/>
      <c r="AZ42" s="207"/>
      <c r="BD42" s="95">
        <v>0</v>
      </c>
    </row>
    <row r="43" spans="1:56" ht="16.5" x14ac:dyDescent="0.3">
      <c r="A43" s="16" t="s">
        <v>16</v>
      </c>
      <c r="B43" s="425">
        <f>22537</f>
        <v>22537</v>
      </c>
      <c r="C43" s="376">
        <v>0</v>
      </c>
      <c r="D43" s="475">
        <v>23654</v>
      </c>
      <c r="E43" s="207">
        <v>0</v>
      </c>
      <c r="F43" s="383">
        <v>0</v>
      </c>
      <c r="G43" s="207">
        <v>33</v>
      </c>
      <c r="H43" s="383">
        <v>825</v>
      </c>
      <c r="I43" s="217">
        <v>420</v>
      </c>
      <c r="J43" s="74">
        <f>SUM(E43:I43)</f>
        <v>1278</v>
      </c>
      <c r="K43" s="207">
        <v>0</v>
      </c>
      <c r="L43" s="293">
        <v>0</v>
      </c>
      <c r="M43" s="217">
        <v>0</v>
      </c>
      <c r="N43" s="237">
        <f>SUM(K43:M43)</f>
        <v>0</v>
      </c>
      <c r="O43" s="433">
        <f>+J43+N43</f>
        <v>1278</v>
      </c>
      <c r="P43" s="286">
        <v>0</v>
      </c>
      <c r="Q43" s="58">
        <v>0</v>
      </c>
      <c r="R43" s="293">
        <v>0</v>
      </c>
      <c r="S43" s="58">
        <v>0</v>
      </c>
      <c r="T43" s="293">
        <v>0</v>
      </c>
      <c r="U43" s="58">
        <v>0</v>
      </c>
      <c r="V43" s="425">
        <f>SUM(P43:U43)</f>
        <v>0</v>
      </c>
      <c r="W43" s="416">
        <f>+B43+O43+V43</f>
        <v>23815</v>
      </c>
      <c r="X43" s="525"/>
      <c r="Y43" s="390">
        <f>W43-B43</f>
        <v>1278</v>
      </c>
      <c r="Z43" s="516">
        <f t="shared" si="16"/>
        <v>5.6706748901805916E-2</v>
      </c>
      <c r="AA43" s="572"/>
      <c r="AB43" s="615"/>
      <c r="AC43" s="592">
        <v>0</v>
      </c>
      <c r="AD43" s="511">
        <v>0</v>
      </c>
      <c r="AE43" s="511">
        <v>0</v>
      </c>
      <c r="AF43" s="593">
        <v>0</v>
      </c>
      <c r="AG43" s="553">
        <f>SUM(AC43:AF43)</f>
        <v>0</v>
      </c>
      <c r="AH43" s="554">
        <f>SUM(W43+AG43)</f>
        <v>23815</v>
      </c>
      <c r="AI43" s="495"/>
      <c r="AJ43" s="501">
        <f>SUM(AH43-B43)</f>
        <v>1278</v>
      </c>
      <c r="AK43" s="532">
        <f>IF(B43=0,0,AJ43/B43)</f>
        <v>5.6706748901805916E-2</v>
      </c>
      <c r="AL43" s="544"/>
      <c r="AM43" s="124">
        <f>SUM(AH43-W43)</f>
        <v>0</v>
      </c>
      <c r="AN43" s="127">
        <f t="shared" si="17"/>
        <v>0</v>
      </c>
      <c r="AO43" s="207"/>
      <c r="AP43" s="616"/>
      <c r="AQ43" s="632"/>
      <c r="AR43" s="207"/>
      <c r="AZ43" s="207"/>
      <c r="BD43" s="95">
        <v>0</v>
      </c>
    </row>
    <row r="44" spans="1:56" ht="15.75" customHeight="1" x14ac:dyDescent="0.3">
      <c r="A44" s="19" t="s">
        <v>19</v>
      </c>
      <c r="B44" s="424">
        <f t="shared" ref="B44:G44" si="18">SUM(B39:B43)</f>
        <v>523232</v>
      </c>
      <c r="C44" s="370">
        <f t="shared" si="18"/>
        <v>0</v>
      </c>
      <c r="D44" s="476">
        <f t="shared" si="18"/>
        <v>569906</v>
      </c>
      <c r="E44" s="340">
        <f t="shared" si="18"/>
        <v>1026</v>
      </c>
      <c r="F44" s="341">
        <f t="shared" si="18"/>
        <v>731</v>
      </c>
      <c r="G44" s="344">
        <f t="shared" si="18"/>
        <v>6436</v>
      </c>
      <c r="H44" s="345">
        <f t="shared" ref="H44:W44" si="19">SUM(H39:H43)</f>
        <v>1887</v>
      </c>
      <c r="I44" s="346">
        <f t="shared" si="19"/>
        <v>6786</v>
      </c>
      <c r="J44" s="76">
        <f t="shared" si="19"/>
        <v>16866</v>
      </c>
      <c r="K44" s="80">
        <f t="shared" si="19"/>
        <v>0</v>
      </c>
      <c r="L44" s="296">
        <f>SUM(L39:L43)</f>
        <v>0</v>
      </c>
      <c r="M44" s="260">
        <f t="shared" si="19"/>
        <v>100000</v>
      </c>
      <c r="N44" s="98">
        <f t="shared" si="19"/>
        <v>100000</v>
      </c>
      <c r="O44" s="436">
        <f t="shared" si="19"/>
        <v>116866</v>
      </c>
      <c r="P44" s="289">
        <f t="shared" si="19"/>
        <v>0</v>
      </c>
      <c r="Q44" s="269">
        <f t="shared" si="19"/>
        <v>0</v>
      </c>
      <c r="R44" s="296">
        <f t="shared" si="19"/>
        <v>0</v>
      </c>
      <c r="S44" s="269">
        <f t="shared" si="19"/>
        <v>0</v>
      </c>
      <c r="T44" s="296">
        <f t="shared" si="19"/>
        <v>0</v>
      </c>
      <c r="U44" s="269">
        <f t="shared" si="19"/>
        <v>0</v>
      </c>
      <c r="V44" s="424">
        <f t="shared" si="19"/>
        <v>0</v>
      </c>
      <c r="W44" s="418">
        <f t="shared" si="19"/>
        <v>640098</v>
      </c>
      <c r="X44" s="525"/>
      <c r="Y44" s="394">
        <f>SUM(Y39:Y43)</f>
        <v>116866</v>
      </c>
      <c r="Z44" s="518">
        <f t="shared" si="16"/>
        <v>0.22335407620329031</v>
      </c>
      <c r="AA44" s="572"/>
      <c r="AB44" s="615"/>
      <c r="AC44" s="598">
        <f>SUM(AC38:AC43)</f>
        <v>0</v>
      </c>
      <c r="AD44" s="539">
        <f>SUM(AD38:AD43)</f>
        <v>0</v>
      </c>
      <c r="AE44" s="539">
        <f>SUM(AE38:AE43)</f>
        <v>0</v>
      </c>
      <c r="AF44" s="599">
        <f>SUM(AF38:AF43)</f>
        <v>0</v>
      </c>
      <c r="AG44" s="559">
        <f>SUM(AG38:AG43)</f>
        <v>0</v>
      </c>
      <c r="AH44" s="560">
        <f>SUM(AH39:AH43)</f>
        <v>640098</v>
      </c>
      <c r="AI44" s="495"/>
      <c r="AJ44" s="503">
        <f>SUM(AJ39:AJ43)</f>
        <v>116866</v>
      </c>
      <c r="AK44" s="535">
        <f>IF(B44=0,0,AJ44/B44)</f>
        <v>0.22335407620329031</v>
      </c>
      <c r="AL44" s="544"/>
      <c r="AM44" s="548">
        <f>SUM(AM39:AM43)</f>
        <v>0</v>
      </c>
      <c r="AN44" s="128">
        <f t="shared" si="17"/>
        <v>0</v>
      </c>
      <c r="AO44" s="207"/>
      <c r="AP44" s="616"/>
      <c r="AQ44" s="632"/>
      <c r="AR44" s="207"/>
      <c r="AZ44" s="261">
        <f>SUM(AZ39:AZ43)</f>
        <v>0</v>
      </c>
      <c r="BD44" s="99">
        <f>SUM(BD39:BD43)</f>
        <v>0</v>
      </c>
    </row>
    <row r="45" spans="1:56" ht="24" customHeight="1" thickBot="1" x14ac:dyDescent="0.35">
      <c r="A45" s="21" t="s">
        <v>23</v>
      </c>
      <c r="B45" s="427">
        <f>+B31+B36+B44</f>
        <v>4807589</v>
      </c>
      <c r="C45" s="309">
        <f>+C31+C36+C44</f>
        <v>0</v>
      </c>
      <c r="D45" s="477">
        <f>+D31+D36+D44</f>
        <v>5185015</v>
      </c>
      <c r="E45" s="82">
        <f>++E31+E354+E44</f>
        <v>7964</v>
      </c>
      <c r="F45" s="271">
        <f>+F31+F36+F44</f>
        <v>11946</v>
      </c>
      <c r="G45" s="64">
        <f>G31+G36+G44</f>
        <v>10385</v>
      </c>
      <c r="H45" s="84">
        <f>+H31+H36+H44</f>
        <v>70068</v>
      </c>
      <c r="I45" s="347">
        <f>+I31+I36+I44</f>
        <v>68711</v>
      </c>
      <c r="J45" s="77">
        <f>+J31+J36+J44</f>
        <v>169074</v>
      </c>
      <c r="K45" s="276">
        <f>+K31+K36+K44</f>
        <v>75000</v>
      </c>
      <c r="L45" s="297">
        <f>+L31+L36+L44</f>
        <v>100000</v>
      </c>
      <c r="M45" s="262">
        <f>+M31++M36+M44</f>
        <v>100000</v>
      </c>
      <c r="N45" s="100">
        <f t="shared" ref="N45:W45" si="20">+N31+N36+N44</f>
        <v>275000</v>
      </c>
      <c r="O45" s="439">
        <f t="shared" si="20"/>
        <v>444074</v>
      </c>
      <c r="P45" s="290">
        <f t="shared" si="20"/>
        <v>0</v>
      </c>
      <c r="Q45" s="298">
        <f t="shared" si="20"/>
        <v>0</v>
      </c>
      <c r="R45" s="298">
        <f t="shared" si="20"/>
        <v>0</v>
      </c>
      <c r="S45" s="298">
        <f t="shared" si="20"/>
        <v>0</v>
      </c>
      <c r="T45" s="298">
        <f t="shared" si="20"/>
        <v>0</v>
      </c>
      <c r="U45" s="298">
        <f t="shared" si="20"/>
        <v>0</v>
      </c>
      <c r="V45" s="427">
        <f t="shared" si="20"/>
        <v>0</v>
      </c>
      <c r="W45" s="420">
        <f t="shared" si="20"/>
        <v>5251663</v>
      </c>
      <c r="X45" s="525"/>
      <c r="Y45" s="369">
        <f>+Y31+Y36+Y44</f>
        <v>444074</v>
      </c>
      <c r="Z45" s="520">
        <f t="shared" si="16"/>
        <v>9.2369376833169398E-2</v>
      </c>
      <c r="AA45" s="574"/>
      <c r="AB45" s="618"/>
      <c r="AC45" s="600">
        <f t="shared" ref="AC45:AH45" si="21">SUM(AC44+AC36+AC31)</f>
        <v>0</v>
      </c>
      <c r="AD45" s="540">
        <f t="shared" si="21"/>
        <v>0</v>
      </c>
      <c r="AE45" s="540">
        <f t="shared" si="21"/>
        <v>0</v>
      </c>
      <c r="AF45" s="601">
        <f t="shared" si="21"/>
        <v>0</v>
      </c>
      <c r="AG45" s="562">
        <f t="shared" si="21"/>
        <v>0</v>
      </c>
      <c r="AH45" s="563">
        <f t="shared" si="21"/>
        <v>5251663</v>
      </c>
      <c r="AI45" s="497"/>
      <c r="AJ45" s="506">
        <f>SUM(AJ44+AJ36+AJ31)</f>
        <v>444074</v>
      </c>
      <c r="AK45" s="536">
        <f>IF(B45=0,0,AJ45/B45)</f>
        <v>9.2369376833169398E-2</v>
      </c>
      <c r="AL45" s="550"/>
      <c r="AM45" s="568">
        <f>SUM(AM44+AM36+AM31)</f>
        <v>0</v>
      </c>
      <c r="AN45" s="128">
        <f t="shared" si="17"/>
        <v>0</v>
      </c>
      <c r="AO45" s="242"/>
      <c r="AP45" s="619"/>
      <c r="AQ45" s="633"/>
      <c r="AR45" s="243"/>
      <c r="AZ45" s="262">
        <f>+AZ31+AZ44</f>
        <v>0</v>
      </c>
      <c r="BD45" s="100">
        <f>+BD31+BD44</f>
        <v>495081961</v>
      </c>
    </row>
    <row r="46" spans="1:56" s="9" customFormat="1" ht="17.25" customHeight="1" thickTop="1" x14ac:dyDescent="0.3">
      <c r="A46" s="6" t="s">
        <v>50</v>
      </c>
      <c r="B46" s="6"/>
      <c r="C46" s="348"/>
      <c r="D46" s="310">
        <f>D45-B45</f>
        <v>377426</v>
      </c>
      <c r="E46" s="258"/>
      <c r="F46" s="258"/>
      <c r="G46" s="259"/>
      <c r="H46" s="6"/>
      <c r="I46" s="6"/>
      <c r="J46" s="46"/>
      <c r="K46" s="6"/>
      <c r="L46" s="6"/>
      <c r="M46" s="6"/>
      <c r="N46" s="6"/>
      <c r="O46" s="46">
        <f>+J45+N45</f>
        <v>444074</v>
      </c>
      <c r="P46" s="6"/>
      <c r="Q46" s="6"/>
      <c r="R46" s="6"/>
      <c r="S46" s="6"/>
      <c r="T46" s="6"/>
      <c r="U46" s="6"/>
      <c r="V46" s="6"/>
      <c r="W46" s="46">
        <f>W45-B45</f>
        <v>444074</v>
      </c>
      <c r="X46" s="46"/>
      <c r="Y46" s="513"/>
      <c r="Z46" s="513"/>
      <c r="AA46" s="513"/>
      <c r="AB46" s="620"/>
      <c r="AC46" s="521"/>
      <c r="AD46" s="521"/>
      <c r="AE46" s="521"/>
      <c r="AF46" s="521"/>
      <c r="AG46" s="521"/>
      <c r="AH46" s="521">
        <f>AH45-B45</f>
        <v>444074</v>
      </c>
      <c r="AI46" s="512"/>
      <c r="AJ46" s="244"/>
      <c r="AK46" s="244"/>
      <c r="AL46" s="244"/>
      <c r="AM46" s="244"/>
      <c r="AN46" s="244"/>
      <c r="AO46" s="244"/>
      <c r="AP46" s="522"/>
      <c r="AQ46" s="634"/>
      <c r="AR46" s="244"/>
      <c r="AS46" s="244"/>
    </row>
    <row r="47" spans="1:56" s="9" customFormat="1" ht="17.25" customHeight="1" x14ac:dyDescent="0.3">
      <c r="A47" s="47" t="s">
        <v>51</v>
      </c>
      <c r="B47" s="47"/>
      <c r="C47" s="47"/>
      <c r="D47" s="48">
        <f>D46/B45</f>
        <v>7.8506294943265748E-2</v>
      </c>
      <c r="E47" s="304"/>
      <c r="F47" s="257"/>
      <c r="G47" s="257"/>
      <c r="H47" s="47"/>
      <c r="I47" s="47"/>
      <c r="J47" s="305"/>
      <c r="K47" s="47"/>
      <c r="L47" s="47"/>
      <c r="M47" s="47"/>
      <c r="N47" s="47"/>
      <c r="O47" s="456">
        <f>IF(B45=0,0,O46/B45)</f>
        <v>9.2369376833169398E-2</v>
      </c>
      <c r="P47" s="47"/>
      <c r="Q47" s="47"/>
      <c r="R47" s="47"/>
      <c r="S47" s="47"/>
      <c r="T47" s="47"/>
      <c r="U47" s="47"/>
      <c r="V47" s="47"/>
      <c r="W47" s="456">
        <f>IF(B45=0,0,W46/B45)</f>
        <v>9.2369376833169398E-2</v>
      </c>
      <c r="X47" s="384"/>
      <c r="Y47" s="513"/>
      <c r="Z47" s="513"/>
      <c r="AA47" s="513"/>
      <c r="AB47" s="620"/>
      <c r="AC47" s="639"/>
      <c r="AD47" s="639"/>
      <c r="AE47" s="639"/>
      <c r="AF47" s="639"/>
      <c r="AG47" s="639"/>
      <c r="AH47" s="640">
        <f>AH46/B45</f>
        <v>9.2369376833169398E-2</v>
      </c>
      <c r="AI47" s="384"/>
      <c r="AJ47" s="244"/>
      <c r="AK47" s="244"/>
      <c r="AL47" s="244"/>
      <c r="AM47" s="244"/>
      <c r="AN47" s="244"/>
      <c r="AO47" s="244"/>
      <c r="AP47" s="522"/>
      <c r="AQ47" s="634"/>
      <c r="AR47" s="244"/>
      <c r="AS47" s="244"/>
    </row>
    <row r="48" spans="1:56" s="9" customFormat="1" ht="6.75" customHeight="1" x14ac:dyDescent="0.3">
      <c r="A48" s="6"/>
      <c r="B48" s="6"/>
      <c r="C48" s="349"/>
      <c r="D48" s="6"/>
      <c r="E48" s="6"/>
      <c r="F48" s="6"/>
      <c r="G48" s="6"/>
      <c r="H48" s="6"/>
      <c r="I48" s="6"/>
      <c r="J48" s="46"/>
      <c r="K48" s="6"/>
      <c r="L48" s="6"/>
      <c r="M48" s="6"/>
      <c r="N48" s="6"/>
      <c r="O48" s="6"/>
      <c r="P48" s="66"/>
      <c r="Q48" s="277"/>
      <c r="R48" s="277"/>
      <c r="S48" s="277"/>
      <c r="T48" s="277"/>
      <c r="U48" s="277"/>
      <c r="V48" s="66"/>
      <c r="W48" s="6"/>
      <c r="X48" s="6"/>
      <c r="Y48" s="8"/>
      <c r="Z48" s="8"/>
      <c r="AA48" s="8"/>
      <c r="AB48" s="620"/>
      <c r="AC48" s="621"/>
      <c r="AD48" s="621"/>
      <c r="AE48" s="621"/>
      <c r="AF48" s="621"/>
      <c r="AG48" s="621"/>
      <c r="AH48" s="621"/>
      <c r="AI48" s="621"/>
      <c r="AJ48" s="244"/>
      <c r="AK48" s="244"/>
      <c r="AL48" s="244"/>
      <c r="AM48" s="244"/>
      <c r="AN48" s="244"/>
      <c r="AO48" s="244"/>
      <c r="AP48" s="522"/>
      <c r="AQ48" s="634"/>
      <c r="AR48" s="244"/>
      <c r="AS48" s="244"/>
    </row>
    <row r="49" spans="1:45" s="52" customFormat="1" ht="20.100000000000001" customHeight="1" thickBot="1" x14ac:dyDescent="0.35">
      <c r="A49" s="6" t="s">
        <v>111</v>
      </c>
      <c r="B49" s="50"/>
      <c r="C49" s="349"/>
      <c r="D49" s="2"/>
      <c r="E49" s="49"/>
      <c r="F49" s="49"/>
      <c r="G49" s="49"/>
      <c r="H49" s="49"/>
      <c r="I49" s="49"/>
      <c r="J49" s="256"/>
      <c r="K49" s="254"/>
      <c r="L49" s="254"/>
      <c r="M49" s="254"/>
      <c r="O49" s="254"/>
      <c r="P49" s="2"/>
      <c r="Q49" s="2"/>
      <c r="R49" s="2"/>
      <c r="S49" s="2"/>
      <c r="T49" s="2"/>
      <c r="U49" s="2"/>
      <c r="W49" s="59"/>
      <c r="X49" s="59"/>
      <c r="Y49" s="53"/>
      <c r="Z49" s="53"/>
      <c r="AA49" s="53"/>
      <c r="AB49" s="622"/>
      <c r="AC49" s="623"/>
      <c r="AD49" s="623"/>
      <c r="AE49" s="623"/>
      <c r="AF49" s="623"/>
      <c r="AG49" s="623"/>
      <c r="AH49" s="623"/>
      <c r="AI49" s="623"/>
      <c r="AJ49" s="624"/>
      <c r="AK49" s="624"/>
      <c r="AL49" s="624"/>
      <c r="AM49" s="624"/>
      <c r="AN49" s="624"/>
      <c r="AO49" s="624"/>
      <c r="AP49" s="625"/>
      <c r="AQ49" s="635"/>
      <c r="AR49" s="245"/>
      <c r="AS49" s="245"/>
    </row>
    <row r="50" spans="1:45" s="9" customFormat="1" ht="17.25" thickTop="1" x14ac:dyDescent="0.3">
      <c r="A50" s="6"/>
      <c r="B50" s="6"/>
      <c r="C50" s="6"/>
      <c r="D50" s="6"/>
      <c r="E50" s="6"/>
      <c r="F50" s="6"/>
      <c r="G50" s="6"/>
      <c r="H50" s="6"/>
      <c r="I50" s="6"/>
      <c r="J50" s="6"/>
      <c r="K50" s="6"/>
      <c r="L50" s="6"/>
      <c r="M50" s="6"/>
      <c r="O50" s="6"/>
      <c r="P50" s="6"/>
      <c r="Q50" s="6"/>
      <c r="R50" s="6"/>
      <c r="S50" s="6"/>
      <c r="T50" s="6"/>
      <c r="U50" s="6"/>
      <c r="V50" s="6"/>
      <c r="W50" s="6"/>
      <c r="X50" s="6"/>
      <c r="Y50" s="8"/>
      <c r="Z50" s="8"/>
      <c r="AA50" s="8"/>
      <c r="AB50" s="8"/>
      <c r="AC50" s="6"/>
      <c r="AD50" s="6"/>
      <c r="AE50" s="6"/>
      <c r="AF50" s="6"/>
      <c r="AG50" s="6"/>
      <c r="AH50" s="6"/>
      <c r="AI50" s="6"/>
      <c r="AJ50" s="244"/>
      <c r="AK50" s="244"/>
      <c r="AL50" s="244"/>
      <c r="AM50" s="244"/>
      <c r="AN50" s="244"/>
      <c r="AO50" s="244"/>
      <c r="AP50" s="244"/>
      <c r="AQ50" s="244"/>
      <c r="AR50" s="244"/>
      <c r="AS50" s="244"/>
    </row>
    <row r="51" spans="1:45" s="9" customFormat="1" ht="16.5" x14ac:dyDescent="0.3">
      <c r="A51" s="6" t="s">
        <v>101</v>
      </c>
      <c r="B51" s="10"/>
      <c r="C51" s="10"/>
      <c r="D51" s="10"/>
      <c r="E51" s="10"/>
      <c r="F51" s="10"/>
      <c r="G51" s="10"/>
      <c r="H51" s="10"/>
      <c r="I51" s="10"/>
      <c r="J51" s="10"/>
      <c r="K51" s="10"/>
      <c r="L51" s="10"/>
      <c r="M51" s="129"/>
      <c r="O51" s="129"/>
      <c r="P51" s="10"/>
      <c r="Q51" s="10"/>
      <c r="R51" s="10"/>
      <c r="S51" s="10"/>
      <c r="T51" s="10"/>
      <c r="U51" s="10"/>
      <c r="V51" s="485"/>
      <c r="W51" s="46">
        <f>B45*Y51+B45</f>
        <v>6394093.3700000001</v>
      </c>
      <c r="X51" s="46"/>
      <c r="Y51" s="626">
        <v>0.33</v>
      </c>
      <c r="AC51" s="507"/>
      <c r="AD51" s="46"/>
      <c r="AE51" s="46"/>
      <c r="AF51" s="46"/>
      <c r="AG51" s="46"/>
      <c r="AH51" s="46"/>
      <c r="AI51" s="46"/>
      <c r="AJ51" s="244"/>
      <c r="AK51" s="244"/>
      <c r="AL51" s="244"/>
      <c r="AM51" s="244"/>
      <c r="AN51" s="244"/>
      <c r="AO51" s="244"/>
      <c r="AP51" s="244"/>
      <c r="AQ51" s="244"/>
      <c r="AR51" s="244"/>
      <c r="AS51" s="244"/>
    </row>
    <row r="52" spans="1:45" s="9" customFormat="1" ht="16.5" x14ac:dyDescent="0.3">
      <c r="A52" s="10"/>
      <c r="B52" s="10"/>
      <c r="C52" s="10"/>
      <c r="D52" s="81"/>
      <c r="E52" s="10"/>
      <c r="F52" s="10"/>
      <c r="G52" s="10"/>
      <c r="H52" s="10"/>
      <c r="I52" s="10"/>
      <c r="J52" s="10"/>
      <c r="K52" s="10"/>
      <c r="L52" s="10"/>
      <c r="Q52" s="10"/>
      <c r="R52" s="10"/>
      <c r="S52" s="10"/>
      <c r="T52" s="10"/>
      <c r="U52" s="10"/>
      <c r="V52" s="486"/>
      <c r="W52" s="46">
        <f>-W45</f>
        <v>-5251663</v>
      </c>
      <c r="X52" s="46"/>
      <c r="AC52" s="46"/>
      <c r="AD52" s="46"/>
      <c r="AE52" s="46"/>
      <c r="AF52" s="46"/>
      <c r="AG52" s="46"/>
      <c r="AH52" s="46"/>
      <c r="AI52" s="46"/>
      <c r="AJ52" s="244"/>
      <c r="AK52" s="244"/>
      <c r="AL52" s="244"/>
      <c r="AM52" s="244"/>
      <c r="AN52" s="244"/>
      <c r="AO52" s="244"/>
      <c r="AP52" s="244"/>
      <c r="AQ52" s="244"/>
      <c r="AR52" s="244"/>
      <c r="AS52" s="244"/>
    </row>
    <row r="53" spans="1:45" s="9" customFormat="1" ht="20.100000000000001" customHeight="1" x14ac:dyDescent="0.3">
      <c r="A53" s="454"/>
      <c r="B53" s="454"/>
      <c r="C53" s="454"/>
      <c r="D53" s="454"/>
      <c r="E53" s="454"/>
      <c r="F53" s="454"/>
      <c r="G53" s="454"/>
      <c r="H53" s="454"/>
      <c r="I53" s="454"/>
      <c r="J53" s="454"/>
      <c r="K53" s="454"/>
      <c r="L53" s="454"/>
      <c r="M53" s="454"/>
      <c r="N53" s="454"/>
      <c r="O53" s="454"/>
      <c r="P53" s="454"/>
      <c r="Q53" s="454"/>
      <c r="R53" s="454"/>
      <c r="S53" s="454"/>
      <c r="T53" s="454"/>
      <c r="U53" s="454"/>
      <c r="V53" s="483"/>
      <c r="W53" s="306">
        <f>SUM(W51:W52)</f>
        <v>1142430.3700000001</v>
      </c>
      <c r="X53" s="306"/>
      <c r="Y53" s="249"/>
      <c r="AC53" s="508"/>
      <c r="AD53" s="508"/>
      <c r="AE53" s="508"/>
      <c r="AF53" s="508"/>
      <c r="AG53" s="508"/>
      <c r="AH53" s="508"/>
      <c r="AI53" s="508"/>
      <c r="AJ53" s="244"/>
      <c r="AK53" s="244"/>
      <c r="AL53" s="244"/>
      <c r="AM53" s="244"/>
      <c r="AN53" s="244"/>
      <c r="AO53" s="244"/>
      <c r="AP53" s="244"/>
      <c r="AQ53" s="244"/>
      <c r="AR53" s="244"/>
      <c r="AS53" s="244"/>
    </row>
    <row r="54" spans="1:45" s="9" customFormat="1" ht="16.5" x14ac:dyDescent="0.3">
      <c r="A54" s="6"/>
      <c r="B54" s="10"/>
      <c r="C54" s="10"/>
      <c r="E54" s="10"/>
      <c r="F54" s="10"/>
      <c r="G54" s="10"/>
      <c r="H54" s="10"/>
      <c r="I54" s="10"/>
      <c r="J54" s="10"/>
      <c r="K54" s="10"/>
      <c r="L54" s="10"/>
      <c r="M54" s="10"/>
      <c r="N54" s="130"/>
      <c r="O54" s="130"/>
      <c r="P54" s="10"/>
      <c r="Q54" s="10"/>
      <c r="R54" s="10"/>
      <c r="S54" s="10"/>
      <c r="T54" s="10"/>
      <c r="U54" s="10"/>
      <c r="V54" s="10"/>
      <c r="W54" s="307"/>
      <c r="X54" s="307"/>
      <c r="AC54" s="307"/>
      <c r="AD54" s="307"/>
      <c r="AE54" s="307"/>
      <c r="AF54" s="307"/>
      <c r="AG54" s="307"/>
      <c r="AH54" s="307"/>
      <c r="AI54" s="307"/>
      <c r="AJ54" s="244"/>
      <c r="AK54" s="244"/>
      <c r="AL54" s="244"/>
      <c r="AM54" s="244"/>
      <c r="AN54" s="244"/>
      <c r="AO54" s="244"/>
      <c r="AP54" s="244"/>
      <c r="AQ54" s="244"/>
      <c r="AR54" s="244"/>
      <c r="AS54" s="244"/>
    </row>
    <row r="55" spans="1:45" ht="16.5" x14ac:dyDescent="0.3">
      <c r="A55" s="67"/>
      <c r="B55" s="68"/>
      <c r="C55" s="68"/>
      <c r="E55" s="22"/>
      <c r="F55" s="22"/>
      <c r="G55" s="22"/>
      <c r="H55" s="22"/>
      <c r="I55" s="22"/>
      <c r="J55" s="22"/>
      <c r="K55" s="4"/>
      <c r="L55" s="4"/>
      <c r="O55" s="6"/>
      <c r="P55" s="4"/>
      <c r="Q55" s="9"/>
      <c r="R55" s="4"/>
      <c r="S55" s="4"/>
      <c r="T55" s="4"/>
      <c r="U55" s="4"/>
      <c r="V55" s="484"/>
      <c r="W55" s="46">
        <f>B45*Y51</f>
        <v>1586504.37</v>
      </c>
      <c r="X55" s="46"/>
      <c r="AC55" s="46"/>
      <c r="AD55" s="46"/>
      <c r="AE55" s="46"/>
      <c r="AF55" s="46"/>
      <c r="AG55" s="46"/>
      <c r="AH55" s="46"/>
      <c r="AI55" s="46"/>
    </row>
    <row r="56" spans="1:45" ht="16.5" x14ac:dyDescent="0.3">
      <c r="A56" s="6"/>
      <c r="B56" s="11"/>
      <c r="C56" s="11"/>
      <c r="D56" s="11"/>
      <c r="E56" s="11"/>
      <c r="F56" s="11"/>
      <c r="G56" s="11"/>
      <c r="H56" s="11"/>
      <c r="I56" s="11"/>
      <c r="J56" s="11"/>
      <c r="K56" s="4"/>
      <c r="L56" s="4"/>
      <c r="O56" s="6"/>
      <c r="P56" s="4"/>
      <c r="Q56" s="4"/>
      <c r="R56" s="4"/>
      <c r="S56" s="4"/>
      <c r="T56" s="4"/>
      <c r="U56" s="4"/>
      <c r="V56" s="4"/>
      <c r="W56" s="308"/>
      <c r="X56" s="308"/>
      <c r="AC56" s="308"/>
      <c r="AD56" s="308"/>
      <c r="AE56" s="308"/>
      <c r="AF56" s="308"/>
      <c r="AG56" s="308"/>
      <c r="AH56" s="308"/>
      <c r="AI56" s="308"/>
    </row>
    <row r="57" spans="1:45" ht="16.5" x14ac:dyDescent="0.3">
      <c r="A57" s="12"/>
      <c r="B57" s="11"/>
      <c r="C57" s="11"/>
      <c r="D57" s="11"/>
      <c r="E57" s="11"/>
      <c r="F57" s="11"/>
      <c r="G57" s="11"/>
      <c r="H57" s="11"/>
      <c r="I57" s="11"/>
      <c r="J57" s="11"/>
      <c r="K57" s="4"/>
      <c r="L57" s="4"/>
      <c r="O57" s="250"/>
      <c r="P57" s="4"/>
      <c r="Q57" s="4"/>
      <c r="R57" s="4"/>
      <c r="S57" s="4"/>
      <c r="T57" s="4"/>
      <c r="U57" s="4"/>
      <c r="V57" s="4"/>
      <c r="W57" s="4"/>
      <c r="X57" s="4"/>
      <c r="AC57" s="4"/>
      <c r="AD57" s="4"/>
      <c r="AE57" s="4"/>
      <c r="AF57" s="4"/>
      <c r="AG57" s="4"/>
      <c r="AH57" s="4"/>
      <c r="AI57" s="4"/>
    </row>
    <row r="58" spans="1:45" ht="15" x14ac:dyDescent="0.2">
      <c r="A58" s="12"/>
      <c r="B58" s="11"/>
      <c r="C58" s="11"/>
      <c r="D58" s="11"/>
      <c r="E58" s="11"/>
      <c r="F58" s="11"/>
      <c r="G58" s="11"/>
      <c r="H58" s="11"/>
      <c r="I58" s="11"/>
      <c r="J58" s="11"/>
      <c r="K58" s="4"/>
      <c r="L58" s="4"/>
      <c r="O58" s="10"/>
      <c r="P58" s="10"/>
      <c r="Q58" s="10"/>
      <c r="R58" s="10"/>
      <c r="S58" s="10"/>
      <c r="T58" s="4"/>
      <c r="U58" s="4"/>
      <c r="V58" s="4"/>
      <c r="W58" s="4"/>
      <c r="X58" s="4"/>
      <c r="AC58" s="4"/>
      <c r="AD58" s="4"/>
      <c r="AE58" s="4"/>
      <c r="AF58" s="4"/>
      <c r="AG58" s="4"/>
      <c r="AH58" s="4"/>
      <c r="AI58" s="4"/>
    </row>
    <row r="59" spans="1:45" ht="15" x14ac:dyDescent="0.2">
      <c r="A59" s="12"/>
      <c r="B59" s="11"/>
      <c r="C59" s="11"/>
      <c r="D59" s="11"/>
      <c r="E59" s="11"/>
      <c r="F59" s="11"/>
      <c r="G59" s="11"/>
      <c r="H59" s="11"/>
      <c r="I59" s="11"/>
      <c r="J59" s="11"/>
      <c r="K59" s="4"/>
      <c r="L59" s="4"/>
      <c r="M59" s="4"/>
      <c r="N59" s="4"/>
      <c r="O59" s="4"/>
      <c r="P59" s="4"/>
      <c r="Q59" s="4"/>
      <c r="R59" s="4"/>
      <c r="S59" s="4"/>
      <c r="T59" s="4"/>
      <c r="U59" s="4"/>
      <c r="V59" s="4"/>
      <c r="W59" s="4"/>
      <c r="X59" s="4"/>
      <c r="AC59" s="4"/>
      <c r="AD59" s="4"/>
      <c r="AE59" s="4"/>
      <c r="AF59" s="4"/>
      <c r="AG59" s="4"/>
      <c r="AH59" s="4"/>
      <c r="AI59" s="4"/>
    </row>
    <row r="60" spans="1:45" ht="15" x14ac:dyDescent="0.2">
      <c r="B60" s="1"/>
      <c r="C60" s="1"/>
      <c r="D60" s="1"/>
      <c r="E60" s="1"/>
      <c r="F60" s="1"/>
      <c r="G60" s="1"/>
      <c r="H60" s="1"/>
      <c r="I60" s="1"/>
      <c r="J60" s="1"/>
      <c r="K60" s="4"/>
      <c r="L60" s="4"/>
      <c r="M60" s="4"/>
      <c r="N60" s="4"/>
      <c r="O60" s="4"/>
      <c r="P60" s="4"/>
      <c r="Q60" s="4"/>
      <c r="R60" s="4"/>
      <c r="S60" s="4"/>
      <c r="T60" s="4"/>
      <c r="U60" s="4"/>
      <c r="V60" s="4"/>
      <c r="W60" s="4"/>
      <c r="X60" s="4"/>
      <c r="AC60" s="4"/>
      <c r="AD60" s="4"/>
      <c r="AE60" s="4"/>
      <c r="AF60" s="4"/>
      <c r="AG60" s="4"/>
      <c r="AH60" s="4"/>
      <c r="AI60" s="4"/>
    </row>
    <row r="61" spans="1:45" ht="15" x14ac:dyDescent="0.2">
      <c r="B61" s="1"/>
      <c r="C61" s="1"/>
      <c r="D61" s="1"/>
      <c r="E61" s="1"/>
      <c r="F61" s="1"/>
      <c r="G61" s="1"/>
      <c r="H61" s="1"/>
      <c r="I61" s="1"/>
      <c r="J61" s="1"/>
      <c r="K61" s="4"/>
      <c r="L61" s="4"/>
      <c r="M61" s="4"/>
      <c r="N61" s="4"/>
      <c r="O61" s="4"/>
      <c r="P61" s="4"/>
      <c r="Q61" s="4"/>
      <c r="R61" s="4"/>
      <c r="S61" s="4"/>
      <c r="T61" s="4"/>
      <c r="U61" s="4"/>
      <c r="V61" s="4"/>
      <c r="W61" s="4"/>
      <c r="X61" s="4"/>
      <c r="AC61" s="4"/>
      <c r="AD61" s="4"/>
      <c r="AE61" s="4"/>
      <c r="AF61" s="4"/>
      <c r="AG61" s="4"/>
      <c r="AH61" s="4"/>
      <c r="AI61" s="4"/>
    </row>
    <row r="62" spans="1:45" ht="16.5" x14ac:dyDescent="0.3">
      <c r="B62" s="1"/>
      <c r="C62" s="1"/>
      <c r="D62" s="1"/>
      <c r="E62" s="1"/>
      <c r="F62" s="1"/>
      <c r="G62" s="1"/>
      <c r="H62" s="1"/>
      <c r="I62" s="1"/>
      <c r="J62" s="1"/>
      <c r="K62" s="4"/>
      <c r="L62" s="4"/>
      <c r="M62" s="4"/>
      <c r="N62" s="4"/>
      <c r="O62" s="4"/>
      <c r="P62" s="4"/>
      <c r="Q62" s="4"/>
      <c r="R62" s="4"/>
      <c r="S62" s="4"/>
      <c r="T62" s="4"/>
      <c r="U62" s="4"/>
      <c r="V62" s="4"/>
      <c r="W62" s="46"/>
      <c r="X62" s="4"/>
      <c r="AC62" s="4"/>
      <c r="AD62" s="4"/>
      <c r="AE62" s="4"/>
      <c r="AF62" s="4"/>
      <c r="AG62" s="4"/>
      <c r="AH62" s="4"/>
      <c r="AI62" s="4"/>
    </row>
    <row r="78" spans="5:5" x14ac:dyDescent="0.2">
      <c r="E78" s="23"/>
    </row>
  </sheetData>
  <mergeCells count="23">
    <mergeCell ref="A1:AH1"/>
    <mergeCell ref="A2:AH2"/>
    <mergeCell ref="A3:AH3"/>
    <mergeCell ref="A4:AH4"/>
    <mergeCell ref="C6:C7"/>
    <mergeCell ref="E6:N6"/>
    <mergeCell ref="P7:V7"/>
    <mergeCell ref="AC7:AG7"/>
    <mergeCell ref="B8:C8"/>
    <mergeCell ref="E8:I8"/>
    <mergeCell ref="K8:M8"/>
    <mergeCell ref="P8:U8"/>
    <mergeCell ref="AJ9:AK9"/>
    <mergeCell ref="AC8:AF8"/>
    <mergeCell ref="AJ6:AK6"/>
    <mergeCell ref="E7:J7"/>
    <mergeCell ref="K7:N7"/>
    <mergeCell ref="G10:H10"/>
    <mergeCell ref="Y8:Z8"/>
    <mergeCell ref="Y10:Z11"/>
    <mergeCell ref="AJ8:AN8"/>
    <mergeCell ref="AM10:AN11"/>
    <mergeCell ref="AJ10:AK11"/>
  </mergeCells>
  <printOptions horizontalCentered="1" verticalCentered="1" headings="1"/>
  <pageMargins left="0.25" right="0.25" top="0.75" bottom="0.75" header="0.3" footer="0.3"/>
  <pageSetup paperSize="5" scale="38" orientation="landscape" r:id="rId1"/>
  <headerFooter>
    <oddHeader>&amp;C&amp;"Arial,Bold"&amp;14Deliverable 10a</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Y78"/>
  <sheetViews>
    <sheetView zoomScaleNormal="100" workbookViewId="0">
      <selection activeCell="AG14" sqref="AG14"/>
    </sheetView>
  </sheetViews>
  <sheetFormatPr defaultRowHeight="12.75" x14ac:dyDescent="0.2"/>
  <cols>
    <col min="1" max="1" width="25.42578125" customWidth="1"/>
    <col min="2" max="2" width="10.28515625" bestFit="1" customWidth="1"/>
    <col min="3" max="3" width="11.140625" customWidth="1"/>
    <col min="4" max="4" width="10.28515625" customWidth="1"/>
    <col min="5" max="5" width="6.7109375" customWidth="1"/>
    <col min="6" max="6" width="7.28515625" customWidth="1"/>
    <col min="7" max="8" width="7.28515625" bestFit="1" customWidth="1"/>
    <col min="9" max="9" width="9.28515625" bestFit="1" customWidth="1"/>
    <col min="10" max="10" width="9.28515625" customWidth="1"/>
    <col min="11" max="11" width="8.140625" bestFit="1" customWidth="1"/>
    <col min="12" max="12" width="8.140625" customWidth="1"/>
    <col min="13" max="13" width="10.42578125" bestFit="1" customWidth="1"/>
    <col min="14" max="14" width="10" bestFit="1" customWidth="1"/>
    <col min="15" max="15" width="10.42578125" customWidth="1"/>
    <col min="16" max="22" width="8.5703125" customWidth="1"/>
    <col min="23" max="24" width="8.85546875" customWidth="1"/>
    <col min="25" max="25" width="9" customWidth="1"/>
    <col min="26" max="26" width="8.42578125" customWidth="1"/>
    <col min="27" max="27" width="14.140625" customWidth="1"/>
    <col min="28" max="28" width="0.7109375" customWidth="1"/>
    <col min="29" max="29" width="12" customWidth="1"/>
    <col min="30" max="30" width="7.140625" customWidth="1"/>
    <col min="31" max="31" width="0.5703125" customWidth="1"/>
    <col min="32" max="33" width="7.5703125" style="236" customWidth="1"/>
    <col min="34" max="34" width="9.140625" style="236" customWidth="1"/>
    <col min="35" max="35" width="1" style="236" customWidth="1"/>
    <col min="36" max="37" width="7.7109375" style="236" customWidth="1"/>
    <col min="38" max="38" width="7.42578125" style="236" customWidth="1"/>
    <col min="39" max="40" width="9.140625" style="236" customWidth="1"/>
    <col min="51" max="51" width="13.42578125" customWidth="1"/>
  </cols>
  <sheetData>
    <row r="1" spans="1:51" ht="18.75" x14ac:dyDescent="0.3">
      <c r="A1" s="1034" t="s">
        <v>25</v>
      </c>
      <c r="B1" s="1034"/>
      <c r="C1" s="1034"/>
      <c r="D1" s="1034"/>
      <c r="E1" s="1034"/>
      <c r="F1" s="1034"/>
      <c r="G1" s="1034"/>
      <c r="H1" s="1034"/>
      <c r="I1" s="1034"/>
      <c r="J1" s="1034"/>
      <c r="K1" s="1034"/>
      <c r="L1" s="1034"/>
      <c r="M1" s="1034"/>
      <c r="N1" s="1034"/>
      <c r="O1" s="1034"/>
      <c r="P1" s="1034"/>
      <c r="Q1" s="1034"/>
      <c r="R1" s="1034"/>
      <c r="S1" s="1034"/>
      <c r="T1" s="1034"/>
      <c r="U1" s="1034"/>
      <c r="V1" s="1034"/>
      <c r="W1" s="1034"/>
      <c r="X1" s="1034"/>
      <c r="Y1" s="1034"/>
      <c r="Z1" s="1034"/>
      <c r="AA1" s="1034"/>
      <c r="AB1" s="380"/>
    </row>
    <row r="2" spans="1:51" ht="18.75" x14ac:dyDescent="0.3">
      <c r="A2" s="1138" t="s">
        <v>113</v>
      </c>
      <c r="B2" s="1138"/>
      <c r="C2" s="1138"/>
      <c r="D2" s="1138"/>
      <c r="E2" s="1138"/>
      <c r="F2" s="1138"/>
      <c r="G2" s="1138"/>
      <c r="H2" s="1138"/>
      <c r="I2" s="1138"/>
      <c r="J2" s="1138"/>
      <c r="K2" s="1138"/>
      <c r="L2" s="1138"/>
      <c r="M2" s="1138"/>
      <c r="N2" s="1138"/>
      <c r="O2" s="1138"/>
      <c r="P2" s="1138"/>
      <c r="Q2" s="1138"/>
      <c r="R2" s="1138"/>
      <c r="S2" s="1138"/>
      <c r="T2" s="1138"/>
      <c r="U2" s="1138"/>
      <c r="V2" s="1138"/>
      <c r="W2" s="1138"/>
      <c r="X2" s="1138"/>
      <c r="Y2" s="1138"/>
      <c r="Z2" s="1138"/>
      <c r="AA2" s="1138"/>
      <c r="AB2" s="382"/>
    </row>
    <row r="3" spans="1:51" ht="18.75" x14ac:dyDescent="0.3">
      <c r="A3" s="1034" t="s">
        <v>103</v>
      </c>
      <c r="B3" s="1139"/>
      <c r="C3" s="1139"/>
      <c r="D3" s="1139"/>
      <c r="E3" s="1139"/>
      <c r="F3" s="1139"/>
      <c r="G3" s="1139"/>
      <c r="H3" s="1139"/>
      <c r="I3" s="1139"/>
      <c r="J3" s="1139"/>
      <c r="K3" s="1139"/>
      <c r="L3" s="1139"/>
      <c r="M3" s="1139"/>
      <c r="N3" s="1139"/>
      <c r="O3" s="1139"/>
      <c r="P3" s="1139"/>
      <c r="Q3" s="1139"/>
      <c r="R3" s="1139"/>
      <c r="S3" s="1139"/>
      <c r="T3" s="1139"/>
      <c r="U3" s="1139"/>
      <c r="V3" s="1139"/>
      <c r="W3" s="1139"/>
      <c r="X3" s="1139"/>
      <c r="Y3" s="1139"/>
      <c r="Z3" s="1139"/>
      <c r="AA3" s="1139"/>
      <c r="AB3" s="402"/>
    </row>
    <row r="4" spans="1:51" ht="15.75" customHeight="1" x14ac:dyDescent="0.2">
      <c r="A4" s="1036" t="s">
        <v>39</v>
      </c>
      <c r="B4" s="1036"/>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381"/>
    </row>
    <row r="5" spans="1:51" ht="15.75" customHeight="1" x14ac:dyDescent="0.2">
      <c r="A5" s="381"/>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row>
    <row r="6" spans="1:51" ht="20.100000000000001" customHeight="1" thickBot="1" x14ac:dyDescent="0.35">
      <c r="A6" s="79"/>
      <c r="B6" s="79"/>
      <c r="C6" s="1134" t="s">
        <v>114</v>
      </c>
      <c r="D6" s="225"/>
      <c r="E6" s="1089"/>
      <c r="F6" s="1090"/>
      <c r="G6" s="1090"/>
      <c r="H6" s="1090"/>
      <c r="I6" s="1090"/>
      <c r="J6" s="1090"/>
      <c r="K6" s="1090"/>
      <c r="L6" s="1090"/>
      <c r="M6" s="1090"/>
      <c r="N6" s="1090"/>
      <c r="O6" s="226"/>
      <c r="P6" s="265"/>
      <c r="Q6" s="265"/>
      <c r="R6" s="265"/>
      <c r="S6" s="265"/>
      <c r="T6" s="265"/>
      <c r="U6" s="265"/>
      <c r="V6" s="265"/>
      <c r="W6" s="266"/>
      <c r="X6" s="266"/>
      <c r="Y6" s="265"/>
      <c r="Z6" s="265"/>
      <c r="AA6" s="253"/>
      <c r="AB6" s="253"/>
      <c r="AF6" s="1110"/>
      <c r="AG6" s="1110"/>
      <c r="AH6" s="251"/>
      <c r="AI6" s="251"/>
      <c r="AJ6" s="1110"/>
      <c r="AK6" s="1110"/>
      <c r="AL6" s="1110"/>
    </row>
    <row r="7" spans="1:51" ht="20.100000000000001" customHeight="1" thickBot="1" x14ac:dyDescent="0.3">
      <c r="A7" s="229"/>
      <c r="B7" s="230"/>
      <c r="C7" s="1135"/>
      <c r="D7" s="230"/>
      <c r="E7" s="1111" t="s">
        <v>87</v>
      </c>
      <c r="F7" s="1112"/>
      <c r="G7" s="1112"/>
      <c r="H7" s="1112"/>
      <c r="I7" s="1112"/>
      <c r="J7" s="1113"/>
      <c r="K7" s="1111" t="s">
        <v>80</v>
      </c>
      <c r="L7" s="1112"/>
      <c r="M7" s="1112"/>
      <c r="N7" s="1113"/>
      <c r="O7" s="248"/>
      <c r="P7" s="1114" t="s">
        <v>106</v>
      </c>
      <c r="Q7" s="1115"/>
      <c r="R7" s="1115"/>
      <c r="S7" s="1115"/>
      <c r="T7" s="1115"/>
      <c r="U7" s="1115"/>
      <c r="V7" s="1115"/>
      <c r="W7" s="1115"/>
      <c r="X7" s="1115"/>
      <c r="Y7" s="1115"/>
      <c r="Z7" s="1116"/>
      <c r="AA7" s="228"/>
      <c r="AB7" s="228"/>
      <c r="AD7" s="236"/>
      <c r="AF7" s="239"/>
      <c r="AG7" s="239"/>
      <c r="AH7" s="240"/>
      <c r="AI7" s="240"/>
      <c r="AJ7" s="239"/>
      <c r="AK7" s="239"/>
      <c r="AL7" s="239"/>
    </row>
    <row r="8" spans="1:51" ht="15.75" customHeight="1" x14ac:dyDescent="0.3">
      <c r="A8" s="232"/>
      <c r="B8" s="1132" t="s">
        <v>75</v>
      </c>
      <c r="C8" s="1133"/>
      <c r="D8" s="478" t="s">
        <v>102</v>
      </c>
      <c r="E8" s="1093" t="s">
        <v>78</v>
      </c>
      <c r="F8" s="1039"/>
      <c r="G8" s="1039"/>
      <c r="H8" s="1039"/>
      <c r="I8" s="1039"/>
      <c r="J8" s="69"/>
      <c r="K8" s="1093" t="s">
        <v>78</v>
      </c>
      <c r="L8" s="1039"/>
      <c r="M8" s="1039"/>
      <c r="N8" s="246"/>
      <c r="O8" s="428" t="s">
        <v>54</v>
      </c>
      <c r="P8" s="1093"/>
      <c r="Q8" s="1039"/>
      <c r="R8" s="1039"/>
      <c r="S8" s="1039"/>
      <c r="T8" s="1039"/>
      <c r="U8" s="1039"/>
      <c r="V8" s="1039"/>
      <c r="W8" s="1039"/>
      <c r="X8" s="1039"/>
      <c r="Y8" s="1146"/>
      <c r="Z8" s="440"/>
      <c r="AA8" s="411"/>
      <c r="AB8" s="385"/>
      <c r="AC8" s="1094" t="s">
        <v>100</v>
      </c>
      <c r="AD8" s="1140"/>
    </row>
    <row r="9" spans="1:51" s="23" customFormat="1" ht="15.75" customHeight="1" x14ac:dyDescent="0.25">
      <c r="A9" s="55"/>
      <c r="B9" s="459"/>
      <c r="C9" s="378" t="s">
        <v>52</v>
      </c>
      <c r="D9" s="458"/>
      <c r="E9" s="119"/>
      <c r="F9" s="119"/>
      <c r="G9" s="300"/>
      <c r="H9" s="301"/>
      <c r="I9" s="299"/>
      <c r="J9" s="70"/>
      <c r="K9" s="120" t="s">
        <v>90</v>
      </c>
      <c r="L9" s="316" t="s">
        <v>94</v>
      </c>
      <c r="M9" s="312" t="s">
        <v>96</v>
      </c>
      <c r="N9" s="247"/>
      <c r="O9" s="429" t="s">
        <v>81</v>
      </c>
      <c r="P9" s="328"/>
      <c r="Q9" s="328"/>
      <c r="R9" s="328"/>
      <c r="S9" s="328"/>
      <c r="T9" s="329"/>
      <c r="U9" s="328"/>
      <c r="V9" s="328"/>
      <c r="W9" s="328"/>
      <c r="X9" s="329"/>
      <c r="Y9" s="330"/>
      <c r="Z9" s="441"/>
      <c r="AA9" s="412" t="s">
        <v>110</v>
      </c>
      <c r="AB9" s="385"/>
      <c r="AC9" s="37"/>
      <c r="AD9" s="395"/>
      <c r="AF9" s="227"/>
      <c r="AG9" s="227"/>
      <c r="AH9" s="234"/>
      <c r="AI9" s="241"/>
      <c r="AJ9" s="227"/>
      <c r="AK9" s="227"/>
      <c r="AL9" s="227"/>
      <c r="AM9" s="234"/>
      <c r="AN9" s="241"/>
    </row>
    <row r="10" spans="1:51" ht="15.75" customHeight="1" x14ac:dyDescent="0.25">
      <c r="A10" s="14"/>
      <c r="B10" s="460"/>
      <c r="C10" s="379" t="s">
        <v>58</v>
      </c>
      <c r="D10" s="464"/>
      <c r="E10" s="120" t="s">
        <v>41</v>
      </c>
      <c r="F10" s="120" t="s">
        <v>60</v>
      </c>
      <c r="G10" s="1096" t="s">
        <v>34</v>
      </c>
      <c r="H10" s="1097"/>
      <c r="I10" s="36"/>
      <c r="J10" s="71" t="s">
        <v>54</v>
      </c>
      <c r="K10" s="120" t="s">
        <v>91</v>
      </c>
      <c r="L10" s="317" t="s">
        <v>95</v>
      </c>
      <c r="M10" s="311" t="s">
        <v>92</v>
      </c>
      <c r="N10" s="234" t="s">
        <v>76</v>
      </c>
      <c r="O10" s="430" t="s">
        <v>76</v>
      </c>
      <c r="P10" s="398"/>
      <c r="Q10" s="120"/>
      <c r="R10" s="317"/>
      <c r="S10" s="120"/>
      <c r="T10" s="317"/>
      <c r="U10" s="327"/>
      <c r="V10" s="327"/>
      <c r="W10" s="327"/>
      <c r="X10" s="317"/>
      <c r="Y10" s="317"/>
      <c r="Z10" s="430" t="s">
        <v>56</v>
      </c>
      <c r="AA10" s="412" t="s">
        <v>47</v>
      </c>
      <c r="AB10" s="385"/>
      <c r="AC10" s="1141" t="s">
        <v>112</v>
      </c>
      <c r="AD10" s="1142"/>
      <c r="AF10" s="120"/>
      <c r="AG10" s="120"/>
      <c r="AH10" s="234"/>
      <c r="AJ10" s="120"/>
      <c r="AK10" s="120"/>
      <c r="AL10" s="120"/>
      <c r="AM10" s="234"/>
    </row>
    <row r="11" spans="1:51" ht="16.5" customHeight="1" x14ac:dyDescent="0.25">
      <c r="A11" s="14"/>
      <c r="B11" s="479" t="s">
        <v>40</v>
      </c>
      <c r="C11" s="379" t="s">
        <v>105</v>
      </c>
      <c r="D11" s="481" t="s">
        <v>45</v>
      </c>
      <c r="E11" s="126" t="s">
        <v>26</v>
      </c>
      <c r="F11" s="126" t="s">
        <v>26</v>
      </c>
      <c r="G11" s="141" t="s">
        <v>57</v>
      </c>
      <c r="H11" s="322"/>
      <c r="I11" s="323" t="s">
        <v>35</v>
      </c>
      <c r="J11" s="71" t="s">
        <v>44</v>
      </c>
      <c r="K11" s="255" t="s">
        <v>92</v>
      </c>
      <c r="L11" s="318" t="s">
        <v>71</v>
      </c>
      <c r="M11" s="311" t="s">
        <v>97</v>
      </c>
      <c r="N11" s="234" t="s">
        <v>77</v>
      </c>
      <c r="O11" s="430" t="s">
        <v>82</v>
      </c>
      <c r="P11" s="399"/>
      <c r="Q11" s="397"/>
      <c r="R11" s="325"/>
      <c r="S11" s="325"/>
      <c r="T11" s="325"/>
      <c r="U11" s="325"/>
      <c r="V11" s="325"/>
      <c r="W11" s="326"/>
      <c r="X11" s="326"/>
      <c r="Y11" s="326"/>
      <c r="Z11" s="430" t="s">
        <v>86</v>
      </c>
      <c r="AA11" s="413" t="s">
        <v>43</v>
      </c>
      <c r="AB11" s="386"/>
      <c r="AC11" s="1143"/>
      <c r="AD11" s="1144"/>
      <c r="AF11" s="120"/>
      <c r="AG11" s="120"/>
      <c r="AH11" s="234"/>
      <c r="AJ11" s="120"/>
      <c r="AK11" s="120"/>
      <c r="AL11" s="120"/>
      <c r="AM11" s="234"/>
    </row>
    <row r="12" spans="1:51" ht="18" customHeight="1" thickBot="1" x14ac:dyDescent="0.3">
      <c r="A12" s="15" t="s">
        <v>0</v>
      </c>
      <c r="B12" s="480" t="s">
        <v>85</v>
      </c>
      <c r="C12" s="65" t="s">
        <v>74</v>
      </c>
      <c r="D12" s="482" t="s">
        <v>46</v>
      </c>
      <c r="E12" s="255" t="s">
        <v>61</v>
      </c>
      <c r="F12" s="140"/>
      <c r="G12" s="143" t="s">
        <v>49</v>
      </c>
      <c r="H12" s="321" t="s">
        <v>49</v>
      </c>
      <c r="I12" s="324" t="s">
        <v>36</v>
      </c>
      <c r="J12" s="72" t="s">
        <v>27</v>
      </c>
      <c r="K12" s="275" t="s">
        <v>93</v>
      </c>
      <c r="L12" s="291" t="s">
        <v>98</v>
      </c>
      <c r="M12" s="313" t="s">
        <v>93</v>
      </c>
      <c r="N12" s="235" t="s">
        <v>27</v>
      </c>
      <c r="O12" s="431" t="s">
        <v>68</v>
      </c>
      <c r="P12" s="400"/>
      <c r="Q12" s="275"/>
      <c r="R12" s="291"/>
      <c r="S12" s="275"/>
      <c r="T12" s="291"/>
      <c r="U12" s="275"/>
      <c r="V12" s="291"/>
      <c r="W12" s="278"/>
      <c r="X12" s="291"/>
      <c r="Y12" s="291"/>
      <c r="Z12" s="431" t="s">
        <v>27</v>
      </c>
      <c r="AA12" s="414" t="s">
        <v>83</v>
      </c>
      <c r="AB12" s="385"/>
      <c r="AC12" s="34" t="s">
        <v>28</v>
      </c>
      <c r="AD12" s="35" t="s">
        <v>29</v>
      </c>
      <c r="AF12" s="120"/>
      <c r="AG12" s="120"/>
      <c r="AH12" s="234"/>
      <c r="AJ12" s="120"/>
      <c r="AK12" s="120"/>
      <c r="AL12" s="120"/>
      <c r="AM12" s="234"/>
    </row>
    <row r="13" spans="1:51" ht="15.75" x14ac:dyDescent="0.25">
      <c r="A13" s="3" t="s">
        <v>17</v>
      </c>
      <c r="B13" s="461"/>
      <c r="C13" s="373"/>
      <c r="D13" s="466"/>
      <c r="E13" s="270"/>
      <c r="F13" s="273"/>
      <c r="G13" s="270"/>
      <c r="H13" s="137"/>
      <c r="I13" s="274"/>
      <c r="J13" s="73"/>
      <c r="K13" s="236"/>
      <c r="L13" s="292"/>
      <c r="M13" s="36"/>
      <c r="N13" s="236"/>
      <c r="O13" s="432"/>
      <c r="P13" s="285"/>
      <c r="Q13" s="236"/>
      <c r="R13" s="292"/>
      <c r="S13" s="236"/>
      <c r="T13" s="292"/>
      <c r="U13" s="236"/>
      <c r="V13" s="292"/>
      <c r="W13" s="302"/>
      <c r="X13" s="236"/>
      <c r="Y13" s="279"/>
      <c r="Z13" s="432"/>
      <c r="AA13" s="415"/>
      <c r="AB13" s="387"/>
      <c r="AC13" s="389"/>
      <c r="AD13" s="36"/>
      <c r="AE13" s="1"/>
    </row>
    <row r="14" spans="1:51" ht="15.75" x14ac:dyDescent="0.25">
      <c r="A14" s="263" t="s">
        <v>1</v>
      </c>
      <c r="B14" s="421">
        <v>1857225</v>
      </c>
      <c r="C14" s="39">
        <v>0</v>
      </c>
      <c r="D14" s="467">
        <v>1979998</v>
      </c>
      <c r="E14" s="207">
        <v>5050</v>
      </c>
      <c r="F14" s="58">
        <v>7777</v>
      </c>
      <c r="G14" s="207">
        <v>2317</v>
      </c>
      <c r="H14" s="58">
        <v>21358</v>
      </c>
      <c r="I14" s="217">
        <v>33525</v>
      </c>
      <c r="J14" s="74">
        <f>SUM(E14:I14)</f>
        <v>70027</v>
      </c>
      <c r="K14" s="267">
        <v>75000</v>
      </c>
      <c r="L14" s="319">
        <v>0</v>
      </c>
      <c r="M14" s="314">
        <v>0</v>
      </c>
      <c r="N14" s="237">
        <f>SUM(K14:M14)</f>
        <v>75000</v>
      </c>
      <c r="O14" s="433">
        <f>+J14+N14</f>
        <v>145027</v>
      </c>
      <c r="P14" s="286">
        <v>0</v>
      </c>
      <c r="Q14" s="58">
        <v>0</v>
      </c>
      <c r="R14" s="293">
        <v>0</v>
      </c>
      <c r="S14" s="58">
        <v>0</v>
      </c>
      <c r="T14" s="293">
        <v>0</v>
      </c>
      <c r="U14" s="58">
        <v>0</v>
      </c>
      <c r="V14" s="58">
        <v>0</v>
      </c>
      <c r="W14" s="303">
        <v>0</v>
      </c>
      <c r="X14" s="122">
        <v>0</v>
      </c>
      <c r="Y14" s="280">
        <v>0</v>
      </c>
      <c r="Z14" s="425">
        <f>SUM(P14:Y14)</f>
        <v>0</v>
      </c>
      <c r="AA14" s="416">
        <f>+B14+O14+Z14</f>
        <v>2002252</v>
      </c>
      <c r="AB14" s="388"/>
      <c r="AC14" s="390">
        <f>+AA14-B14</f>
        <v>145027</v>
      </c>
      <c r="AD14" s="127">
        <f t="shared" ref="AD14:AD31" si="0">IF(B14=0,0,AC14/B14)</f>
        <v>7.8088007645815666E-2</v>
      </c>
      <c r="AE14" s="1"/>
      <c r="AF14" s="350"/>
      <c r="AG14" s="207"/>
      <c r="AH14" s="207"/>
      <c r="AJ14" s="207"/>
      <c r="AK14" s="207"/>
      <c r="AL14" s="207"/>
      <c r="AM14" s="207"/>
      <c r="AU14" s="207">
        <f>+AT14-AS14</f>
        <v>0</v>
      </c>
      <c r="AY14" s="95">
        <v>314221804</v>
      </c>
    </row>
    <row r="15" spans="1:51" ht="15.75" customHeight="1" x14ac:dyDescent="0.25">
      <c r="A15" s="263" t="s">
        <v>2</v>
      </c>
      <c r="B15" s="421">
        <v>178286</v>
      </c>
      <c r="C15" s="39">
        <v>0</v>
      </c>
      <c r="D15" s="467">
        <v>186829</v>
      </c>
      <c r="E15" s="207">
        <v>678</v>
      </c>
      <c r="F15" s="58">
        <v>722</v>
      </c>
      <c r="G15" s="207">
        <v>53</v>
      </c>
      <c r="H15" s="58">
        <v>1816</v>
      </c>
      <c r="I15" s="217">
        <v>3162</v>
      </c>
      <c r="J15" s="74">
        <f>SUM(E15:I15)</f>
        <v>6431</v>
      </c>
      <c r="K15" s="267">
        <v>0</v>
      </c>
      <c r="L15" s="319">
        <v>0</v>
      </c>
      <c r="M15" s="217">
        <v>0</v>
      </c>
      <c r="N15" s="237">
        <f>SUM(K15:M15)</f>
        <v>0</v>
      </c>
      <c r="O15" s="433">
        <f>+J15+N15</f>
        <v>6431</v>
      </c>
      <c r="P15" s="286">
        <v>0</v>
      </c>
      <c r="Q15" s="58">
        <v>0</v>
      </c>
      <c r="R15" s="293">
        <v>0</v>
      </c>
      <c r="S15" s="58">
        <v>0</v>
      </c>
      <c r="T15" s="293">
        <v>0</v>
      </c>
      <c r="U15" s="58">
        <v>0</v>
      </c>
      <c r="V15" s="58">
        <v>0</v>
      </c>
      <c r="W15" s="58">
        <v>0</v>
      </c>
      <c r="X15" s="207">
        <v>0</v>
      </c>
      <c r="Y15" s="280">
        <v>0</v>
      </c>
      <c r="Z15" s="425">
        <f t="shared" ref="Z15:Z29" si="1">SUM(P15:Y15)</f>
        <v>0</v>
      </c>
      <c r="AA15" s="416">
        <f>+B15+O15+Z15</f>
        <v>184717</v>
      </c>
      <c r="AB15" s="388"/>
      <c r="AC15" s="390">
        <f>+AA15-B15</f>
        <v>6431</v>
      </c>
      <c r="AD15" s="127">
        <f t="shared" si="0"/>
        <v>3.6071256296063628E-2</v>
      </c>
      <c r="AE15" s="1"/>
      <c r="AF15" s="207"/>
      <c r="AG15" s="207"/>
      <c r="AH15" s="207"/>
      <c r="AJ15" s="207"/>
      <c r="AK15" s="207"/>
      <c r="AL15" s="207"/>
      <c r="AM15" s="207"/>
      <c r="AU15" s="207">
        <f>+AT15-AS15</f>
        <v>0</v>
      </c>
      <c r="AY15" s="95">
        <v>29863402</v>
      </c>
    </row>
    <row r="16" spans="1:51" ht="15.75" x14ac:dyDescent="0.25">
      <c r="A16" s="263" t="s">
        <v>3</v>
      </c>
      <c r="B16" s="421">
        <v>82100</v>
      </c>
      <c r="C16" s="39">
        <v>0</v>
      </c>
      <c r="D16" s="467">
        <v>111143</v>
      </c>
      <c r="E16" s="207">
        <v>243</v>
      </c>
      <c r="F16" s="58">
        <v>373</v>
      </c>
      <c r="G16" s="207">
        <v>26</v>
      </c>
      <c r="H16" s="58">
        <v>980</v>
      </c>
      <c r="I16" s="217">
        <v>1476</v>
      </c>
      <c r="J16" s="74">
        <f>SUM(E16:I16)</f>
        <v>3098</v>
      </c>
      <c r="K16" s="268">
        <v>0</v>
      </c>
      <c r="L16" s="320">
        <v>0</v>
      </c>
      <c r="M16" s="217">
        <v>0</v>
      </c>
      <c r="N16" s="237">
        <f>SUM(K16:M16)</f>
        <v>0</v>
      </c>
      <c r="O16" s="433">
        <f>+J16+N16</f>
        <v>3098</v>
      </c>
      <c r="P16" s="286">
        <v>0</v>
      </c>
      <c r="Q16" s="58">
        <v>0</v>
      </c>
      <c r="R16" s="293">
        <v>0</v>
      </c>
      <c r="S16" s="58">
        <v>0</v>
      </c>
      <c r="T16" s="293">
        <v>0</v>
      </c>
      <c r="U16" s="58">
        <v>0</v>
      </c>
      <c r="V16" s="58">
        <v>0</v>
      </c>
      <c r="W16" s="58">
        <v>0</v>
      </c>
      <c r="X16" s="207">
        <v>0</v>
      </c>
      <c r="Y16" s="280">
        <v>0</v>
      </c>
      <c r="Z16" s="425">
        <f t="shared" si="1"/>
        <v>0</v>
      </c>
      <c r="AA16" s="416">
        <f>+B16+O16+Z16</f>
        <v>85198</v>
      </c>
      <c r="AB16" s="388"/>
      <c r="AC16" s="390">
        <f>+AA16-B16</f>
        <v>3098</v>
      </c>
      <c r="AD16" s="127">
        <f t="shared" si="0"/>
        <v>3.7734470158343483E-2</v>
      </c>
      <c r="AE16" s="1"/>
      <c r="AF16" s="207"/>
      <c r="AG16" s="207"/>
      <c r="AH16" s="207"/>
      <c r="AJ16" s="207"/>
      <c r="AK16" s="207"/>
      <c r="AL16" s="207"/>
      <c r="AM16" s="207"/>
      <c r="AU16" s="207">
        <f>+AT16-AS16</f>
        <v>0</v>
      </c>
      <c r="AY16" s="95">
        <v>11174379</v>
      </c>
    </row>
    <row r="17" spans="1:51" ht="15.75" x14ac:dyDescent="0.25">
      <c r="A17" s="263" t="s">
        <v>4</v>
      </c>
      <c r="B17" s="421">
        <v>205305</v>
      </c>
      <c r="C17" s="39">
        <v>0</v>
      </c>
      <c r="D17" s="467">
        <v>233286</v>
      </c>
      <c r="E17" s="207">
        <v>177</v>
      </c>
      <c r="F17" s="58">
        <v>1157</v>
      </c>
      <c r="G17" s="207">
        <v>34</v>
      </c>
      <c r="H17" s="58">
        <v>2835</v>
      </c>
      <c r="I17" s="217">
        <v>3489</v>
      </c>
      <c r="J17" s="74">
        <f>SUM(E17:I17)</f>
        <v>7692</v>
      </c>
      <c r="K17" s="268">
        <v>0</v>
      </c>
      <c r="L17" s="320">
        <v>0</v>
      </c>
      <c r="M17" s="217">
        <v>0</v>
      </c>
      <c r="N17" s="237">
        <f>SUM(K17:M17)</f>
        <v>0</v>
      </c>
      <c r="O17" s="433">
        <f>+J17+N17</f>
        <v>7692</v>
      </c>
      <c r="P17" s="286">
        <v>0</v>
      </c>
      <c r="Q17" s="58">
        <v>0</v>
      </c>
      <c r="R17" s="293">
        <v>0</v>
      </c>
      <c r="S17" s="58">
        <v>0</v>
      </c>
      <c r="T17" s="293">
        <v>0</v>
      </c>
      <c r="U17" s="58">
        <v>0</v>
      </c>
      <c r="V17" s="58">
        <v>0</v>
      </c>
      <c r="W17" s="58">
        <v>0</v>
      </c>
      <c r="X17" s="207">
        <v>0</v>
      </c>
      <c r="Y17" s="280">
        <v>0</v>
      </c>
      <c r="Z17" s="425">
        <f t="shared" si="1"/>
        <v>0</v>
      </c>
      <c r="AA17" s="416">
        <f>+B17+O17+Z17</f>
        <v>212997</v>
      </c>
      <c r="AB17" s="388"/>
      <c r="AC17" s="390">
        <f>+AA17-B17</f>
        <v>7692</v>
      </c>
      <c r="AD17" s="127">
        <f t="shared" si="0"/>
        <v>3.746620881128078E-2</v>
      </c>
      <c r="AE17" s="1"/>
      <c r="AF17" s="207"/>
      <c r="AG17" s="207"/>
      <c r="AH17" s="207"/>
      <c r="AJ17" s="207"/>
      <c r="AK17" s="207"/>
      <c r="AL17" s="207"/>
      <c r="AM17" s="207"/>
      <c r="AU17" s="207">
        <f>+AT17-AS17</f>
        <v>0</v>
      </c>
      <c r="AY17" s="95">
        <v>31324734</v>
      </c>
    </row>
    <row r="18" spans="1:51" ht="15.75" x14ac:dyDescent="0.25">
      <c r="A18" s="263" t="s">
        <v>84</v>
      </c>
      <c r="B18" s="421">
        <v>914139</v>
      </c>
      <c r="C18" s="39">
        <v>0</v>
      </c>
      <c r="D18" s="467">
        <v>962331</v>
      </c>
      <c r="E18" s="122">
        <v>0</v>
      </c>
      <c r="F18" s="58">
        <v>0</v>
      </c>
      <c r="G18" s="207">
        <v>0</v>
      </c>
      <c r="H18" s="58">
        <v>35249</v>
      </c>
      <c r="I18" s="217">
        <v>16723</v>
      </c>
      <c r="J18" s="74">
        <f>SUM(E18:I18)</f>
        <v>51972</v>
      </c>
      <c r="K18" s="267">
        <v>0</v>
      </c>
      <c r="L18" s="319">
        <v>0</v>
      </c>
      <c r="M18" s="217">
        <v>0</v>
      </c>
      <c r="N18" s="237">
        <f>SUM(K18:M18)</f>
        <v>0</v>
      </c>
      <c r="O18" s="433">
        <f>+J18+N18</f>
        <v>51972</v>
      </c>
      <c r="P18" s="286">
        <v>0</v>
      </c>
      <c r="Q18" s="58">
        <v>0</v>
      </c>
      <c r="R18" s="293">
        <v>0</v>
      </c>
      <c r="S18" s="58">
        <v>0</v>
      </c>
      <c r="T18" s="293">
        <v>0</v>
      </c>
      <c r="U18" s="58">
        <v>0</v>
      </c>
      <c r="V18" s="58">
        <v>0</v>
      </c>
      <c r="W18" s="58">
        <v>0</v>
      </c>
      <c r="X18" s="207">
        <v>0</v>
      </c>
      <c r="Y18" s="280">
        <v>0</v>
      </c>
      <c r="Z18" s="425">
        <f t="shared" si="1"/>
        <v>0</v>
      </c>
      <c r="AA18" s="416">
        <f>+B18+O18+Z18</f>
        <v>966111</v>
      </c>
      <c r="AB18" s="388"/>
      <c r="AC18" s="390">
        <f>+AA18-B18</f>
        <v>51972</v>
      </c>
      <c r="AD18" s="127">
        <f t="shared" si="0"/>
        <v>5.6853498209790854E-2</v>
      </c>
      <c r="AE18" s="1"/>
      <c r="AF18" s="207"/>
      <c r="AG18" s="207"/>
      <c r="AH18" s="207"/>
      <c r="AJ18" s="207"/>
      <c r="AK18" s="207"/>
      <c r="AL18" s="207"/>
      <c r="AM18" s="207"/>
      <c r="AU18" s="207"/>
      <c r="AY18" s="95">
        <v>85416008</v>
      </c>
    </row>
    <row r="19" spans="1:51" ht="15.75" x14ac:dyDescent="0.25">
      <c r="A19" s="264" t="s">
        <v>21</v>
      </c>
      <c r="B19" s="422">
        <f>SUM(B14:B18)</f>
        <v>3237055</v>
      </c>
      <c r="C19" s="374">
        <f t="shared" ref="C19:I19" si="2">SUM(C14:C18)</f>
        <v>0</v>
      </c>
      <c r="D19" s="468">
        <f t="shared" si="2"/>
        <v>3473587</v>
      </c>
      <c r="E19" s="332">
        <f t="shared" si="2"/>
        <v>6148</v>
      </c>
      <c r="F19" s="333">
        <f t="shared" si="2"/>
        <v>10029</v>
      </c>
      <c r="G19" s="334">
        <f t="shared" si="2"/>
        <v>2430</v>
      </c>
      <c r="H19" s="335">
        <f t="shared" si="2"/>
        <v>62238</v>
      </c>
      <c r="I19" s="336">
        <f t="shared" si="2"/>
        <v>58375</v>
      </c>
      <c r="J19" s="75">
        <f t="shared" ref="J19:AA19" si="3">SUM(J14:J18)</f>
        <v>139220</v>
      </c>
      <c r="K19" s="123">
        <f t="shared" si="3"/>
        <v>75000</v>
      </c>
      <c r="L19" s="294">
        <f>SUM(L14:L18)</f>
        <v>0</v>
      </c>
      <c r="M19" s="315">
        <f t="shared" si="3"/>
        <v>0</v>
      </c>
      <c r="N19" s="96">
        <f t="shared" si="3"/>
        <v>75000</v>
      </c>
      <c r="O19" s="434">
        <f t="shared" si="3"/>
        <v>214220</v>
      </c>
      <c r="P19" s="287">
        <f t="shared" si="3"/>
        <v>0</v>
      </c>
      <c r="Q19" s="272">
        <f t="shared" si="3"/>
        <v>0</v>
      </c>
      <c r="R19" s="294">
        <f t="shared" si="3"/>
        <v>0</v>
      </c>
      <c r="S19" s="272">
        <f t="shared" si="3"/>
        <v>0</v>
      </c>
      <c r="T19" s="294">
        <f t="shared" si="3"/>
        <v>0</v>
      </c>
      <c r="U19" s="272">
        <f t="shared" si="3"/>
        <v>0</v>
      </c>
      <c r="V19" s="272">
        <f t="shared" si="3"/>
        <v>0</v>
      </c>
      <c r="W19" s="272">
        <f t="shared" si="3"/>
        <v>0</v>
      </c>
      <c r="X19" s="123">
        <f>SUM(X14:X18)</f>
        <v>0</v>
      </c>
      <c r="Y19" s="281">
        <f t="shared" si="3"/>
        <v>0</v>
      </c>
      <c r="Z19" s="422">
        <f t="shared" si="3"/>
        <v>0</v>
      </c>
      <c r="AA19" s="417">
        <f t="shared" si="3"/>
        <v>3451275</v>
      </c>
      <c r="AB19" s="388"/>
      <c r="AC19" s="391">
        <f>SUM(AC14:AC18)</f>
        <v>214220</v>
      </c>
      <c r="AD19" s="331">
        <f t="shared" si="0"/>
        <v>6.6177435971894211E-2</v>
      </c>
      <c r="AE19" s="1"/>
      <c r="AF19" s="207"/>
      <c r="AG19" s="207"/>
      <c r="AH19" s="207"/>
      <c r="AJ19" s="207"/>
      <c r="AK19" s="207"/>
      <c r="AL19" s="207"/>
      <c r="AM19" s="207"/>
      <c r="AU19" s="123">
        <f>SUM(AU14:AU18)</f>
        <v>0</v>
      </c>
      <c r="AY19" s="96">
        <f>SUM(AY14:AY18)</f>
        <v>472000327</v>
      </c>
    </row>
    <row r="20" spans="1:51" ht="15.75" x14ac:dyDescent="0.25">
      <c r="A20" s="263" t="s">
        <v>6</v>
      </c>
      <c r="B20" s="421">
        <v>76623</v>
      </c>
      <c r="C20" s="39">
        <v>0</v>
      </c>
      <c r="D20" s="467">
        <v>82040</v>
      </c>
      <c r="E20" s="207">
        <v>282</v>
      </c>
      <c r="F20" s="58">
        <v>323</v>
      </c>
      <c r="G20" s="207">
        <v>22</v>
      </c>
      <c r="H20" s="58">
        <v>1733</v>
      </c>
      <c r="I20" s="217">
        <v>1374</v>
      </c>
      <c r="J20" s="74">
        <f>SUM(E20:I20)</f>
        <v>3734</v>
      </c>
      <c r="K20" s="268">
        <v>0</v>
      </c>
      <c r="L20" s="320">
        <v>0</v>
      </c>
      <c r="M20" s="217">
        <v>0</v>
      </c>
      <c r="N20" s="237">
        <f>SUM(K20:M20)</f>
        <v>0</v>
      </c>
      <c r="O20" s="433">
        <f>+J20+N20</f>
        <v>3734</v>
      </c>
      <c r="P20" s="286">
        <v>0</v>
      </c>
      <c r="Q20" s="58">
        <v>0</v>
      </c>
      <c r="R20" s="293">
        <v>0</v>
      </c>
      <c r="S20" s="58">
        <v>0</v>
      </c>
      <c r="T20" s="293">
        <v>0</v>
      </c>
      <c r="U20" s="58">
        <v>0</v>
      </c>
      <c r="V20" s="58">
        <v>0</v>
      </c>
      <c r="W20" s="58">
        <v>0</v>
      </c>
      <c r="X20" s="207">
        <v>0</v>
      </c>
      <c r="Y20" s="280">
        <v>0</v>
      </c>
      <c r="Z20" s="425">
        <f t="shared" si="1"/>
        <v>0</v>
      </c>
      <c r="AA20" s="416">
        <f>+B20+O20+Z20</f>
        <v>80357</v>
      </c>
      <c r="AB20" s="388"/>
      <c r="AC20" s="390">
        <f>+AA20-B20</f>
        <v>3734</v>
      </c>
      <c r="AD20" s="127">
        <f t="shared" si="0"/>
        <v>4.8732103937460032E-2</v>
      </c>
      <c r="AE20" s="1"/>
      <c r="AF20" s="207"/>
      <c r="AG20" s="207"/>
      <c r="AH20" s="207"/>
      <c r="AJ20" s="207"/>
      <c r="AK20" s="207"/>
      <c r="AL20" s="207"/>
      <c r="AM20" s="207"/>
      <c r="AU20" s="207">
        <f>+AT20-AS20</f>
        <v>0</v>
      </c>
      <c r="AY20" s="95">
        <v>9878519</v>
      </c>
    </row>
    <row r="21" spans="1:51" ht="15.75" x14ac:dyDescent="0.25">
      <c r="A21" s="263" t="s">
        <v>7</v>
      </c>
      <c r="B21" s="421">
        <v>18255</v>
      </c>
      <c r="C21" s="39">
        <v>0</v>
      </c>
      <c r="D21" s="467">
        <v>19545</v>
      </c>
      <c r="E21" s="207">
        <v>33</v>
      </c>
      <c r="F21" s="58">
        <v>100</v>
      </c>
      <c r="G21" s="207">
        <v>2</v>
      </c>
      <c r="H21" s="58">
        <v>545</v>
      </c>
      <c r="I21" s="217">
        <v>329</v>
      </c>
      <c r="J21" s="74">
        <f>SUM(E21:I21)</f>
        <v>1009</v>
      </c>
      <c r="K21" s="268">
        <v>0</v>
      </c>
      <c r="L21" s="320">
        <v>0</v>
      </c>
      <c r="M21" s="217">
        <v>0</v>
      </c>
      <c r="N21" s="237">
        <f>SUM(K21:M21)</f>
        <v>0</v>
      </c>
      <c r="O21" s="433">
        <f>+J21+N21</f>
        <v>1009</v>
      </c>
      <c r="P21" s="286">
        <v>0</v>
      </c>
      <c r="Q21" s="58">
        <v>0</v>
      </c>
      <c r="R21" s="293">
        <v>0</v>
      </c>
      <c r="S21" s="58">
        <v>0</v>
      </c>
      <c r="T21" s="293">
        <v>0</v>
      </c>
      <c r="U21" s="58">
        <v>0</v>
      </c>
      <c r="V21" s="58">
        <v>0</v>
      </c>
      <c r="W21" s="58">
        <v>0</v>
      </c>
      <c r="X21" s="207">
        <v>0</v>
      </c>
      <c r="Y21" s="280">
        <v>0</v>
      </c>
      <c r="Z21" s="425">
        <f t="shared" si="1"/>
        <v>0</v>
      </c>
      <c r="AA21" s="416">
        <f>+B21+O21+Z21</f>
        <v>19264</v>
      </c>
      <c r="AB21" s="388"/>
      <c r="AC21" s="390">
        <f>+AA21-B21</f>
        <v>1009</v>
      </c>
      <c r="AD21" s="127">
        <f t="shared" si="0"/>
        <v>5.5272528074500137E-2</v>
      </c>
      <c r="AE21" s="1"/>
      <c r="AF21" s="207"/>
      <c r="AG21" s="207"/>
      <c r="AH21" s="207"/>
      <c r="AJ21" s="207"/>
      <c r="AK21" s="207"/>
      <c r="AL21" s="207"/>
      <c r="AM21" s="207"/>
      <c r="AU21" s="207">
        <f>+AT21-AS21</f>
        <v>0</v>
      </c>
      <c r="AY21" s="95">
        <v>2461441</v>
      </c>
    </row>
    <row r="22" spans="1:51" ht="15.75" x14ac:dyDescent="0.25">
      <c r="A22" s="263" t="s">
        <v>8</v>
      </c>
      <c r="B22" s="421">
        <v>58906</v>
      </c>
      <c r="C22" s="39">
        <v>0</v>
      </c>
      <c r="D22" s="467">
        <v>62428</v>
      </c>
      <c r="E22" s="207">
        <v>6</v>
      </c>
      <c r="F22" s="58">
        <v>431</v>
      </c>
      <c r="G22" s="207">
        <v>0</v>
      </c>
      <c r="H22" s="58">
        <v>2223</v>
      </c>
      <c r="I22" s="217">
        <v>1069</v>
      </c>
      <c r="J22" s="74">
        <f>SUM(E22:I22)</f>
        <v>3729</v>
      </c>
      <c r="K22" s="267">
        <v>0</v>
      </c>
      <c r="L22" s="319">
        <v>0</v>
      </c>
      <c r="M22" s="217">
        <v>0</v>
      </c>
      <c r="N22" s="237">
        <f>SUM(K22:M22)</f>
        <v>0</v>
      </c>
      <c r="O22" s="433">
        <f>+J22+N22</f>
        <v>3729</v>
      </c>
      <c r="P22" s="286">
        <v>0</v>
      </c>
      <c r="Q22" s="58">
        <v>0</v>
      </c>
      <c r="R22" s="293">
        <v>0</v>
      </c>
      <c r="S22" s="58">
        <v>0</v>
      </c>
      <c r="T22" s="293">
        <v>0</v>
      </c>
      <c r="U22" s="58">
        <v>0</v>
      </c>
      <c r="V22" s="58">
        <v>0</v>
      </c>
      <c r="W22" s="58">
        <v>0</v>
      </c>
      <c r="X22" s="207">
        <v>0</v>
      </c>
      <c r="Y22" s="280">
        <v>0</v>
      </c>
      <c r="Z22" s="425">
        <f t="shared" si="1"/>
        <v>0</v>
      </c>
      <c r="AA22" s="416">
        <f>+B22+O22+Z22</f>
        <v>62635</v>
      </c>
      <c r="AB22" s="388"/>
      <c r="AC22" s="390">
        <f>+AA22-B22</f>
        <v>3729</v>
      </c>
      <c r="AD22" s="127">
        <f t="shared" si="0"/>
        <v>6.3304247445081993E-2</v>
      </c>
      <c r="AE22" s="1"/>
      <c r="AF22" s="207"/>
      <c r="AG22" s="207"/>
      <c r="AH22" s="207"/>
      <c r="AJ22" s="207"/>
      <c r="AK22" s="207"/>
      <c r="AL22" s="207"/>
      <c r="AM22" s="207"/>
      <c r="AU22" s="207"/>
      <c r="AY22" s="95">
        <v>4243368</v>
      </c>
    </row>
    <row r="23" spans="1:51" ht="15.75" x14ac:dyDescent="0.25">
      <c r="A23" s="263" t="s">
        <v>9</v>
      </c>
      <c r="B23" s="421">
        <v>1950</v>
      </c>
      <c r="C23" s="39">
        <v>0</v>
      </c>
      <c r="D23" s="467">
        <v>2062</v>
      </c>
      <c r="E23" s="207">
        <v>0</v>
      </c>
      <c r="F23" s="58">
        <v>15</v>
      </c>
      <c r="G23" s="207">
        <v>0</v>
      </c>
      <c r="H23" s="58">
        <v>70</v>
      </c>
      <c r="I23" s="217">
        <v>33</v>
      </c>
      <c r="J23" s="74">
        <f>SUM(E23:I23)</f>
        <v>118</v>
      </c>
      <c r="K23" s="267">
        <v>0</v>
      </c>
      <c r="L23" s="319">
        <v>0</v>
      </c>
      <c r="M23" s="217">
        <v>0</v>
      </c>
      <c r="N23" s="237">
        <f>SUM(K23:M23)</f>
        <v>0</v>
      </c>
      <c r="O23" s="433">
        <f>+J23+N23</f>
        <v>118</v>
      </c>
      <c r="P23" s="286">
        <v>0</v>
      </c>
      <c r="Q23" s="58">
        <v>0</v>
      </c>
      <c r="R23" s="293">
        <v>0</v>
      </c>
      <c r="S23" s="58">
        <v>0</v>
      </c>
      <c r="T23" s="293">
        <v>0</v>
      </c>
      <c r="U23" s="58">
        <v>0</v>
      </c>
      <c r="V23" s="58">
        <v>0</v>
      </c>
      <c r="W23" s="58">
        <v>0</v>
      </c>
      <c r="X23" s="207">
        <v>0</v>
      </c>
      <c r="Y23" s="280">
        <v>0</v>
      </c>
      <c r="Z23" s="425">
        <f t="shared" si="1"/>
        <v>0</v>
      </c>
      <c r="AA23" s="416">
        <f>+B23+O23+Z23</f>
        <v>2068</v>
      </c>
      <c r="AB23" s="388"/>
      <c r="AC23" s="390">
        <f>+AA23-B23</f>
        <v>118</v>
      </c>
      <c r="AD23" s="127">
        <f t="shared" si="0"/>
        <v>6.051282051282051E-2</v>
      </c>
      <c r="AE23" s="1"/>
      <c r="AF23" s="207"/>
      <c r="AG23" s="207"/>
      <c r="AH23" s="207"/>
      <c r="AJ23" s="207"/>
      <c r="AK23" s="207"/>
      <c r="AL23" s="207"/>
      <c r="AM23" s="207"/>
      <c r="AU23" s="207"/>
      <c r="AY23" s="95">
        <v>1826000</v>
      </c>
    </row>
    <row r="24" spans="1:51" ht="15.75" x14ac:dyDescent="0.25">
      <c r="A24" s="264" t="s">
        <v>24</v>
      </c>
      <c r="B24" s="422">
        <f>SUM(B20:B23)</f>
        <v>155734</v>
      </c>
      <c r="C24" s="374">
        <f t="shared" ref="C24:I24" si="4">SUM(C20:C23)</f>
        <v>0</v>
      </c>
      <c r="D24" s="468">
        <f t="shared" si="4"/>
        <v>166075</v>
      </c>
      <c r="E24" s="332">
        <f t="shared" si="4"/>
        <v>321</v>
      </c>
      <c r="F24" s="333">
        <f t="shared" si="4"/>
        <v>869</v>
      </c>
      <c r="G24" s="334">
        <f t="shared" si="4"/>
        <v>24</v>
      </c>
      <c r="H24" s="335">
        <f t="shared" si="4"/>
        <v>4571</v>
      </c>
      <c r="I24" s="336">
        <f t="shared" si="4"/>
        <v>2805</v>
      </c>
      <c r="J24" s="75">
        <f t="shared" ref="J24:AA24" si="5">SUM(J20:J23)</f>
        <v>8590</v>
      </c>
      <c r="K24" s="123">
        <f t="shared" si="5"/>
        <v>0</v>
      </c>
      <c r="L24" s="294">
        <f>SUM(L20:L23)</f>
        <v>0</v>
      </c>
      <c r="M24" s="315">
        <f t="shared" si="5"/>
        <v>0</v>
      </c>
      <c r="N24" s="96">
        <f t="shared" si="5"/>
        <v>0</v>
      </c>
      <c r="O24" s="434">
        <f t="shared" si="5"/>
        <v>8590</v>
      </c>
      <c r="P24" s="287">
        <f t="shared" si="5"/>
        <v>0</v>
      </c>
      <c r="Q24" s="272">
        <f t="shared" si="5"/>
        <v>0</v>
      </c>
      <c r="R24" s="294">
        <f t="shared" si="5"/>
        <v>0</v>
      </c>
      <c r="S24" s="272">
        <f t="shared" si="5"/>
        <v>0</v>
      </c>
      <c r="T24" s="294">
        <f t="shared" si="5"/>
        <v>0</v>
      </c>
      <c r="U24" s="272">
        <f t="shared" si="5"/>
        <v>0</v>
      </c>
      <c r="V24" s="272">
        <f t="shared" si="5"/>
        <v>0</v>
      </c>
      <c r="W24" s="272">
        <f t="shared" si="5"/>
        <v>0</v>
      </c>
      <c r="X24" s="123">
        <f>SUM(X20:X23)</f>
        <v>0</v>
      </c>
      <c r="Y24" s="281">
        <f t="shared" si="5"/>
        <v>0</v>
      </c>
      <c r="Z24" s="422">
        <f t="shared" si="5"/>
        <v>0</v>
      </c>
      <c r="AA24" s="417">
        <f t="shared" si="5"/>
        <v>164324</v>
      </c>
      <c r="AB24" s="388"/>
      <c r="AC24" s="391">
        <f>SUM(AC20:AC23)</f>
        <v>8590</v>
      </c>
      <c r="AD24" s="331">
        <f t="shared" si="0"/>
        <v>5.5158154288723081E-2</v>
      </c>
      <c r="AE24" s="1"/>
      <c r="AF24" s="207"/>
      <c r="AG24" s="207"/>
      <c r="AH24" s="207"/>
      <c r="AJ24" s="207"/>
      <c r="AK24" s="207"/>
      <c r="AL24" s="207"/>
      <c r="AM24" s="207"/>
      <c r="AU24" s="123">
        <f>SUM(AU20:AU23)</f>
        <v>0</v>
      </c>
      <c r="AY24" s="96">
        <f>SUM(AY20:AY23)</f>
        <v>18409328</v>
      </c>
    </row>
    <row r="25" spans="1:51" ht="15.75" x14ac:dyDescent="0.25">
      <c r="A25" s="263" t="s">
        <v>10</v>
      </c>
      <c r="B25" s="421">
        <v>44741</v>
      </c>
      <c r="C25" s="39">
        <v>0</v>
      </c>
      <c r="D25" s="467">
        <v>48157</v>
      </c>
      <c r="E25" s="207">
        <v>16</v>
      </c>
      <c r="F25" s="58">
        <v>196</v>
      </c>
      <c r="G25" s="207">
        <v>73</v>
      </c>
      <c r="H25" s="58">
        <v>1372</v>
      </c>
      <c r="I25" s="217">
        <v>745</v>
      </c>
      <c r="J25" s="74">
        <f>SUM(E25:I25)</f>
        <v>2402</v>
      </c>
      <c r="K25" s="207">
        <v>0</v>
      </c>
      <c r="L25" s="293">
        <v>0</v>
      </c>
      <c r="M25" s="217">
        <v>0</v>
      </c>
      <c r="N25" s="237">
        <f>SUM(K25:M25)</f>
        <v>0</v>
      </c>
      <c r="O25" s="433">
        <f>+J25+N25</f>
        <v>2402</v>
      </c>
      <c r="P25" s="286">
        <v>0</v>
      </c>
      <c r="Q25" s="58">
        <v>0</v>
      </c>
      <c r="R25" s="293">
        <v>0</v>
      </c>
      <c r="S25" s="58">
        <v>0</v>
      </c>
      <c r="T25" s="293">
        <v>0</v>
      </c>
      <c r="U25" s="58">
        <v>0</v>
      </c>
      <c r="V25" s="58">
        <v>0</v>
      </c>
      <c r="W25" s="58">
        <v>0</v>
      </c>
      <c r="X25" s="207">
        <v>0</v>
      </c>
      <c r="Y25" s="280">
        <v>0</v>
      </c>
      <c r="Z25" s="425">
        <f t="shared" si="1"/>
        <v>0</v>
      </c>
      <c r="AA25" s="416">
        <f>+B25+O25+Z25</f>
        <v>47143</v>
      </c>
      <c r="AB25" s="388"/>
      <c r="AC25" s="390">
        <f>+AA25-B25</f>
        <v>2402</v>
      </c>
      <c r="AD25" s="127">
        <f t="shared" si="0"/>
        <v>5.3686774993853513E-2</v>
      </c>
      <c r="AE25" s="1"/>
      <c r="AF25" s="207"/>
      <c r="AG25" s="207"/>
      <c r="AH25" s="207"/>
      <c r="AJ25" s="207"/>
      <c r="AK25" s="207"/>
      <c r="AL25" s="207"/>
      <c r="AM25" s="207"/>
      <c r="AU25" s="207"/>
      <c r="AY25" s="95">
        <v>0</v>
      </c>
    </row>
    <row r="26" spans="1:51" ht="15.75" x14ac:dyDescent="0.25">
      <c r="A26" s="263" t="s">
        <v>11</v>
      </c>
      <c r="B26" s="421">
        <v>48342</v>
      </c>
      <c r="C26" s="39">
        <v>0</v>
      </c>
      <c r="D26" s="467">
        <v>49345</v>
      </c>
      <c r="E26" s="207">
        <v>15</v>
      </c>
      <c r="F26" s="58">
        <v>0</v>
      </c>
      <c r="G26" s="207">
        <v>778</v>
      </c>
      <c r="H26" s="58">
        <v>0</v>
      </c>
      <c r="I26" s="217">
        <v>0</v>
      </c>
      <c r="J26" s="74">
        <f>SUM(E26:I26)</f>
        <v>793</v>
      </c>
      <c r="K26" s="207">
        <v>0</v>
      </c>
      <c r="L26" s="293">
        <v>0</v>
      </c>
      <c r="M26" s="217">
        <v>0</v>
      </c>
      <c r="N26" s="237">
        <f>SUM(K26:M26)</f>
        <v>0</v>
      </c>
      <c r="O26" s="433">
        <f>+J26+N26</f>
        <v>793</v>
      </c>
      <c r="P26" s="286">
        <v>0</v>
      </c>
      <c r="Q26" s="58">
        <v>0</v>
      </c>
      <c r="R26" s="293">
        <v>0</v>
      </c>
      <c r="S26" s="58">
        <v>0</v>
      </c>
      <c r="T26" s="293">
        <v>0</v>
      </c>
      <c r="U26" s="58">
        <v>0</v>
      </c>
      <c r="V26" s="58">
        <v>0</v>
      </c>
      <c r="W26" s="58">
        <v>0</v>
      </c>
      <c r="X26" s="207">
        <v>0</v>
      </c>
      <c r="Y26" s="280">
        <v>0</v>
      </c>
      <c r="Z26" s="425">
        <f t="shared" si="1"/>
        <v>0</v>
      </c>
      <c r="AA26" s="416">
        <f>+B26+O26+Z26</f>
        <v>49135</v>
      </c>
      <c r="AB26" s="388"/>
      <c r="AC26" s="390">
        <f>+AA26-B26</f>
        <v>793</v>
      </c>
      <c r="AD26" s="127">
        <f t="shared" si="0"/>
        <v>1.6403955152869142E-2</v>
      </c>
      <c r="AE26" s="1"/>
      <c r="AF26" s="207"/>
      <c r="AG26" s="207"/>
      <c r="AH26" s="207"/>
      <c r="AJ26" s="207"/>
      <c r="AK26" s="207"/>
      <c r="AL26" s="207"/>
      <c r="AM26" s="207"/>
      <c r="AU26" s="207">
        <f>+AT26-AS26</f>
        <v>0</v>
      </c>
      <c r="AY26" s="95">
        <v>0</v>
      </c>
    </row>
    <row r="27" spans="1:51" ht="15.75" x14ac:dyDescent="0.25">
      <c r="A27" s="263" t="s">
        <v>12</v>
      </c>
      <c r="B27" s="421">
        <v>2442</v>
      </c>
      <c r="C27" s="39">
        <v>0</v>
      </c>
      <c r="D27" s="467">
        <v>2488</v>
      </c>
      <c r="E27" s="207">
        <v>0</v>
      </c>
      <c r="F27" s="58">
        <v>0</v>
      </c>
      <c r="G27" s="207">
        <v>46</v>
      </c>
      <c r="H27" s="58">
        <v>0</v>
      </c>
      <c r="I27" s="217">
        <v>0</v>
      </c>
      <c r="J27" s="74">
        <f>SUM(E27:I27)</f>
        <v>46</v>
      </c>
      <c r="K27" s="207">
        <v>0</v>
      </c>
      <c r="L27" s="293">
        <v>0</v>
      </c>
      <c r="M27" s="217">
        <v>0</v>
      </c>
      <c r="N27" s="237">
        <f>SUM(K27:M27)</f>
        <v>0</v>
      </c>
      <c r="O27" s="433">
        <f>+J27+N27</f>
        <v>46</v>
      </c>
      <c r="P27" s="286">
        <v>0</v>
      </c>
      <c r="Q27" s="58">
        <v>0</v>
      </c>
      <c r="R27" s="293">
        <v>0</v>
      </c>
      <c r="S27" s="58">
        <v>0</v>
      </c>
      <c r="T27" s="293">
        <v>0</v>
      </c>
      <c r="U27" s="58">
        <v>0</v>
      </c>
      <c r="V27" s="58">
        <v>0</v>
      </c>
      <c r="W27" s="58">
        <v>0</v>
      </c>
      <c r="X27" s="207">
        <v>0</v>
      </c>
      <c r="Y27" s="280">
        <v>0</v>
      </c>
      <c r="Z27" s="425">
        <f t="shared" si="1"/>
        <v>0</v>
      </c>
      <c r="AA27" s="416">
        <f>+B27+O27+Z27</f>
        <v>2488</v>
      </c>
      <c r="AB27" s="388"/>
      <c r="AC27" s="390">
        <f>+AA27-B27</f>
        <v>46</v>
      </c>
      <c r="AD27" s="127">
        <f t="shared" si="0"/>
        <v>1.8837018837018837E-2</v>
      </c>
      <c r="AE27" s="1"/>
      <c r="AF27" s="207"/>
      <c r="AG27" s="207"/>
      <c r="AH27" s="207"/>
      <c r="AJ27" s="207"/>
      <c r="AK27" s="207"/>
      <c r="AL27" s="207"/>
      <c r="AM27" s="207"/>
      <c r="AU27" s="207">
        <f>+AT27-AS27</f>
        <v>0</v>
      </c>
      <c r="AY27" s="95">
        <v>0</v>
      </c>
    </row>
    <row r="28" spans="1:51" ht="15.75" x14ac:dyDescent="0.25">
      <c r="A28" s="263" t="s">
        <v>13</v>
      </c>
      <c r="B28" s="421">
        <v>72338</v>
      </c>
      <c r="C28" s="39">
        <v>0</v>
      </c>
      <c r="D28" s="467">
        <v>69620</v>
      </c>
      <c r="E28" s="207">
        <v>423</v>
      </c>
      <c r="F28" s="58">
        <v>121</v>
      </c>
      <c r="G28" s="207">
        <v>527</v>
      </c>
      <c r="H28" s="58">
        <v>0</v>
      </c>
      <c r="I28" s="217">
        <v>0</v>
      </c>
      <c r="J28" s="74">
        <f>SUM(E28:I28)</f>
        <v>1071</v>
      </c>
      <c r="K28" s="207">
        <v>0</v>
      </c>
      <c r="L28" s="293">
        <v>0</v>
      </c>
      <c r="M28" s="217">
        <v>0</v>
      </c>
      <c r="N28" s="237">
        <f>SUM(K28:M28)</f>
        <v>0</v>
      </c>
      <c r="O28" s="433">
        <f>+J28+N28</f>
        <v>1071</v>
      </c>
      <c r="P28" s="286">
        <v>0</v>
      </c>
      <c r="Q28" s="58">
        <v>0</v>
      </c>
      <c r="R28" s="293">
        <v>0</v>
      </c>
      <c r="S28" s="58">
        <v>0</v>
      </c>
      <c r="T28" s="293">
        <v>0</v>
      </c>
      <c r="U28" s="58">
        <v>0</v>
      </c>
      <c r="V28" s="58">
        <v>0</v>
      </c>
      <c r="W28" s="58">
        <v>0</v>
      </c>
      <c r="X28" s="207">
        <v>0</v>
      </c>
      <c r="Y28" s="280">
        <v>0</v>
      </c>
      <c r="Z28" s="425">
        <f t="shared" si="1"/>
        <v>0</v>
      </c>
      <c r="AA28" s="416">
        <f>+B28+O28+Z28</f>
        <v>73409</v>
      </c>
      <c r="AB28" s="388"/>
      <c r="AC28" s="390">
        <f>+AA28-B28</f>
        <v>1071</v>
      </c>
      <c r="AD28" s="127">
        <f t="shared" si="0"/>
        <v>1.4805496419585833E-2</v>
      </c>
      <c r="AE28" s="1"/>
      <c r="AF28" s="207"/>
      <c r="AG28" s="207"/>
      <c r="AH28" s="207"/>
      <c r="AJ28" s="207"/>
      <c r="AK28" s="207"/>
      <c r="AL28" s="207"/>
      <c r="AM28" s="207"/>
      <c r="AU28" s="207"/>
      <c r="AY28" s="95">
        <v>4672306</v>
      </c>
    </row>
    <row r="29" spans="1:51" ht="15.75" x14ac:dyDescent="0.25">
      <c r="A29" s="263" t="s">
        <v>30</v>
      </c>
      <c r="B29" s="421">
        <v>5735</v>
      </c>
      <c r="C29" s="39">
        <v>0</v>
      </c>
      <c r="D29" s="467">
        <v>5837</v>
      </c>
      <c r="E29" s="207">
        <v>15</v>
      </c>
      <c r="F29" s="58">
        <v>0</v>
      </c>
      <c r="G29" s="207">
        <v>71</v>
      </c>
      <c r="H29" s="58">
        <v>0</v>
      </c>
      <c r="I29" s="217">
        <v>0</v>
      </c>
      <c r="J29" s="74">
        <f>SUM(E29:I29)</f>
        <v>86</v>
      </c>
      <c r="K29" s="207">
        <v>0</v>
      </c>
      <c r="L29" s="293">
        <v>0</v>
      </c>
      <c r="M29" s="217">
        <v>0</v>
      </c>
      <c r="N29" s="237">
        <f>SUM(K29:M29)</f>
        <v>0</v>
      </c>
      <c r="O29" s="433">
        <f>+J29+N29</f>
        <v>86</v>
      </c>
      <c r="P29" s="286">
        <v>0</v>
      </c>
      <c r="Q29" s="58">
        <v>0</v>
      </c>
      <c r="R29" s="293">
        <v>0</v>
      </c>
      <c r="S29" s="58">
        <v>0</v>
      </c>
      <c r="T29" s="293">
        <v>0</v>
      </c>
      <c r="U29" s="58">
        <v>0</v>
      </c>
      <c r="V29" s="58">
        <v>0</v>
      </c>
      <c r="W29" s="371">
        <v>0</v>
      </c>
      <c r="X29" s="372">
        <v>0</v>
      </c>
      <c r="Y29" s="280">
        <v>0</v>
      </c>
      <c r="Z29" s="425">
        <f t="shared" si="1"/>
        <v>0</v>
      </c>
      <c r="AA29" s="416">
        <f>+B29+O29+Z29</f>
        <v>5821</v>
      </c>
      <c r="AB29" s="388"/>
      <c r="AC29" s="390">
        <f>+AA29-B29</f>
        <v>86</v>
      </c>
      <c r="AD29" s="127">
        <f t="shared" si="0"/>
        <v>1.4995640802092414E-2</v>
      </c>
      <c r="AE29" s="1"/>
      <c r="AF29" s="207"/>
      <c r="AG29" s="207"/>
      <c r="AH29" s="207"/>
      <c r="AJ29" s="207"/>
      <c r="AK29" s="207"/>
      <c r="AL29" s="207"/>
      <c r="AM29" s="207"/>
      <c r="AU29" s="207">
        <f>+AT29-AS29</f>
        <v>0</v>
      </c>
      <c r="AY29" s="95">
        <v>0</v>
      </c>
    </row>
    <row r="30" spans="1:51" ht="15.75" x14ac:dyDescent="0.25">
      <c r="A30" s="18" t="s">
        <v>22</v>
      </c>
      <c r="B30" s="423">
        <f>SUM(B25:B29)</f>
        <v>173598</v>
      </c>
      <c r="C30" s="375">
        <f t="shared" ref="C30:AA30" si="6">SUM(C25:C29)</f>
        <v>0</v>
      </c>
      <c r="D30" s="469">
        <f t="shared" si="6"/>
        <v>175447</v>
      </c>
      <c r="E30" s="337">
        <f t="shared" si="6"/>
        <v>469</v>
      </c>
      <c r="F30" s="338">
        <f t="shared" si="6"/>
        <v>317</v>
      </c>
      <c r="G30" s="337">
        <f t="shared" si="6"/>
        <v>1495</v>
      </c>
      <c r="H30" s="338">
        <f t="shared" si="6"/>
        <v>1372</v>
      </c>
      <c r="I30" s="339">
        <f t="shared" si="6"/>
        <v>745</v>
      </c>
      <c r="J30" s="40">
        <f t="shared" si="6"/>
        <v>4398</v>
      </c>
      <c r="K30" s="103">
        <f t="shared" si="6"/>
        <v>0</v>
      </c>
      <c r="L30" s="295">
        <f t="shared" si="6"/>
        <v>0</v>
      </c>
      <c r="M30" s="115">
        <f t="shared" si="6"/>
        <v>0</v>
      </c>
      <c r="N30" s="97">
        <f t="shared" si="6"/>
        <v>0</v>
      </c>
      <c r="O30" s="435">
        <f t="shared" si="6"/>
        <v>4398</v>
      </c>
      <c r="P30" s="288">
        <f t="shared" si="6"/>
        <v>0</v>
      </c>
      <c r="Q30" s="139">
        <f t="shared" si="6"/>
        <v>0</v>
      </c>
      <c r="R30" s="295">
        <f t="shared" si="6"/>
        <v>0</v>
      </c>
      <c r="S30" s="139">
        <f t="shared" si="6"/>
        <v>0</v>
      </c>
      <c r="T30" s="295">
        <f t="shared" si="6"/>
        <v>0</v>
      </c>
      <c r="U30" s="139">
        <f t="shared" si="6"/>
        <v>0</v>
      </c>
      <c r="V30" s="139">
        <f t="shared" si="6"/>
        <v>0</v>
      </c>
      <c r="W30" s="58">
        <f t="shared" si="6"/>
        <v>0</v>
      </c>
      <c r="X30" s="207">
        <f t="shared" si="6"/>
        <v>0</v>
      </c>
      <c r="Y30" s="282">
        <f t="shared" si="6"/>
        <v>0</v>
      </c>
      <c r="Z30" s="423">
        <f t="shared" si="6"/>
        <v>0</v>
      </c>
      <c r="AA30" s="417">
        <f t="shared" si="6"/>
        <v>177996</v>
      </c>
      <c r="AB30" s="388"/>
      <c r="AC30" s="391">
        <f>SUM(AC25:AC29)</f>
        <v>4398</v>
      </c>
      <c r="AD30" s="457">
        <f t="shared" si="0"/>
        <v>2.5334393253378495E-2</v>
      </c>
      <c r="AE30" s="1"/>
      <c r="AF30" s="207"/>
      <c r="AG30" s="207"/>
      <c r="AH30" s="207"/>
      <c r="AJ30" s="207"/>
      <c r="AK30" s="207"/>
      <c r="AL30" s="207"/>
      <c r="AM30" s="207"/>
      <c r="AU30" s="238">
        <f>SUM(AU25:AU29)</f>
        <v>0</v>
      </c>
      <c r="AY30" s="97">
        <f>SUM(AY25:AY29)</f>
        <v>4672306</v>
      </c>
    </row>
    <row r="31" spans="1:51" ht="15.75" x14ac:dyDescent="0.25">
      <c r="A31" s="19" t="s">
        <v>20</v>
      </c>
      <c r="B31" s="424">
        <f>+B19+B24+B30</f>
        <v>3566387</v>
      </c>
      <c r="C31" s="370">
        <f t="shared" ref="C31:K31" si="7">+C19+C24+C30</f>
        <v>0</v>
      </c>
      <c r="D31" s="470">
        <f t="shared" si="7"/>
        <v>3815109</v>
      </c>
      <c r="E31" s="340">
        <f t="shared" si="7"/>
        <v>6938</v>
      </c>
      <c r="F31" s="341">
        <f t="shared" si="7"/>
        <v>11215</v>
      </c>
      <c r="G31" s="342">
        <f t="shared" si="7"/>
        <v>3949</v>
      </c>
      <c r="H31" s="341">
        <f t="shared" si="7"/>
        <v>68181</v>
      </c>
      <c r="I31" s="343">
        <f t="shared" si="7"/>
        <v>61925</v>
      </c>
      <c r="J31" s="76">
        <f t="shared" si="7"/>
        <v>152208</v>
      </c>
      <c r="K31" s="80">
        <f t="shared" si="7"/>
        <v>75000</v>
      </c>
      <c r="L31" s="296">
        <f>+L19+L24+L30</f>
        <v>0</v>
      </c>
      <c r="M31" s="260">
        <f t="shared" ref="M31:AA31" si="8">+M19+M24+M30</f>
        <v>0</v>
      </c>
      <c r="N31" s="98">
        <f t="shared" si="8"/>
        <v>75000</v>
      </c>
      <c r="O31" s="436">
        <f t="shared" si="8"/>
        <v>227208</v>
      </c>
      <c r="P31" s="289">
        <f t="shared" si="8"/>
        <v>0</v>
      </c>
      <c r="Q31" s="269">
        <f t="shared" si="8"/>
        <v>0</v>
      </c>
      <c r="R31" s="296">
        <f t="shared" si="8"/>
        <v>0</v>
      </c>
      <c r="S31" s="269">
        <f t="shared" si="8"/>
        <v>0</v>
      </c>
      <c r="T31" s="296">
        <f t="shared" si="8"/>
        <v>0</v>
      </c>
      <c r="U31" s="269">
        <f t="shared" si="8"/>
        <v>0</v>
      </c>
      <c r="V31" s="269">
        <f t="shared" si="8"/>
        <v>0</v>
      </c>
      <c r="W31" s="269">
        <f t="shared" si="8"/>
        <v>0</v>
      </c>
      <c r="X31" s="80">
        <f t="shared" si="8"/>
        <v>0</v>
      </c>
      <c r="Y31" s="283">
        <f t="shared" si="8"/>
        <v>0</v>
      </c>
      <c r="Z31" s="424">
        <f t="shared" si="8"/>
        <v>0</v>
      </c>
      <c r="AA31" s="418">
        <f t="shared" si="8"/>
        <v>3793595</v>
      </c>
      <c r="AB31" s="388"/>
      <c r="AC31" s="38">
        <f>+AC19+AC24+AC30</f>
        <v>227208</v>
      </c>
      <c r="AD31" s="128">
        <f t="shared" si="0"/>
        <v>6.3708173005341262E-2</v>
      </c>
      <c r="AE31" s="1"/>
      <c r="AF31" s="207"/>
      <c r="AG31" s="207"/>
      <c r="AH31" s="207"/>
      <c r="AJ31" s="207"/>
      <c r="AK31" s="207"/>
      <c r="AL31" s="207"/>
      <c r="AM31" s="207"/>
      <c r="AU31" s="260">
        <f>+AU19+AU24+AU30</f>
        <v>0</v>
      </c>
      <c r="AY31" s="98">
        <f>+AY19+AY24+AY30</f>
        <v>495081961</v>
      </c>
    </row>
    <row r="32" spans="1:51" ht="15.75" x14ac:dyDescent="0.25">
      <c r="A32" s="16"/>
      <c r="B32" s="425"/>
      <c r="C32" s="376"/>
      <c r="D32" s="471"/>
      <c r="E32" s="351"/>
      <c r="F32" s="352"/>
      <c r="G32" s="174"/>
      <c r="H32" s="303"/>
      <c r="I32" s="176"/>
      <c r="J32" s="74"/>
      <c r="K32" s="207"/>
      <c r="L32" s="293"/>
      <c r="M32" s="217"/>
      <c r="N32" s="95"/>
      <c r="O32" s="433"/>
      <c r="P32" s="286"/>
      <c r="Q32" s="58"/>
      <c r="R32" s="293"/>
      <c r="S32" s="58"/>
      <c r="T32" s="293"/>
      <c r="U32" s="58"/>
      <c r="V32" s="58"/>
      <c r="W32" s="58"/>
      <c r="X32" s="207"/>
      <c r="Y32" s="280"/>
      <c r="Z32" s="425"/>
      <c r="AA32" s="416"/>
      <c r="AB32" s="388"/>
      <c r="AC32" s="353"/>
      <c r="AD32" s="127"/>
      <c r="AE32" s="1"/>
      <c r="AF32" s="207"/>
      <c r="AG32" s="207"/>
      <c r="AH32" s="207"/>
      <c r="AJ32" s="207"/>
      <c r="AK32" s="207"/>
      <c r="AL32" s="207"/>
      <c r="AM32" s="207"/>
      <c r="AU32" s="207"/>
      <c r="AY32" s="95"/>
    </row>
    <row r="33" spans="1:51" ht="15.75" x14ac:dyDescent="0.25">
      <c r="A33" s="447" t="s">
        <v>99</v>
      </c>
      <c r="B33" s="462"/>
      <c r="C33" s="377"/>
      <c r="D33" s="472"/>
      <c r="E33" s="354"/>
      <c r="F33" s="359"/>
      <c r="G33" s="355"/>
      <c r="H33" s="359"/>
      <c r="I33" s="362"/>
      <c r="J33" s="356"/>
      <c r="K33" s="360"/>
      <c r="L33" s="361"/>
      <c r="M33" s="362"/>
      <c r="N33" s="356"/>
      <c r="O33" s="437"/>
      <c r="P33" s="360"/>
      <c r="Q33" s="361"/>
      <c r="R33" s="361"/>
      <c r="S33" s="361"/>
      <c r="T33" s="361"/>
      <c r="U33" s="361"/>
      <c r="V33" s="359"/>
      <c r="W33" s="361"/>
      <c r="X33" s="361"/>
      <c r="Y33" s="357"/>
      <c r="Z33" s="442"/>
      <c r="AA33" s="442"/>
      <c r="AB33" s="388"/>
      <c r="AC33" s="448"/>
      <c r="AD33" s="358"/>
      <c r="AE33" s="1"/>
      <c r="AF33" s="207"/>
      <c r="AG33" s="207"/>
      <c r="AH33" s="207"/>
      <c r="AJ33" s="207"/>
      <c r="AK33" s="207"/>
      <c r="AL33" s="207"/>
      <c r="AM33" s="207"/>
      <c r="AU33" s="207"/>
      <c r="AY33" s="95"/>
    </row>
    <row r="34" spans="1:51" ht="15.75" x14ac:dyDescent="0.25">
      <c r="A34" s="449" t="s">
        <v>107</v>
      </c>
      <c r="B34" s="425">
        <v>717970</v>
      </c>
      <c r="C34" s="39">
        <v>0</v>
      </c>
      <c r="D34" s="473">
        <v>800000</v>
      </c>
      <c r="E34" s="444">
        <v>0</v>
      </c>
      <c r="F34" s="404">
        <v>0</v>
      </c>
      <c r="G34" s="450">
        <v>0</v>
      </c>
      <c r="H34" s="404">
        <v>0</v>
      </c>
      <c r="I34" s="451">
        <v>0</v>
      </c>
      <c r="J34" s="74">
        <f>SUM(E34:I34)</f>
        <v>0</v>
      </c>
      <c r="K34" s="286">
        <f>F34+I34+J34</f>
        <v>0</v>
      </c>
      <c r="L34" s="293">
        <v>100000</v>
      </c>
      <c r="M34" s="280">
        <v>0</v>
      </c>
      <c r="N34" s="237">
        <f>SUM(K34:M34)</f>
        <v>100000</v>
      </c>
      <c r="O34" s="425">
        <f>+J34+N34</f>
        <v>100000</v>
      </c>
      <c r="P34" s="406">
        <v>0</v>
      </c>
      <c r="Q34" s="319">
        <v>0</v>
      </c>
      <c r="R34" s="319">
        <v>0</v>
      </c>
      <c r="S34" s="319">
        <v>0</v>
      </c>
      <c r="T34" s="319">
        <v>0</v>
      </c>
      <c r="U34" s="319">
        <v>0</v>
      </c>
      <c r="V34" s="319">
        <v>0</v>
      </c>
      <c r="W34" s="319">
        <v>0</v>
      </c>
      <c r="X34" s="319">
        <v>0</v>
      </c>
      <c r="Y34" s="452">
        <v>0</v>
      </c>
      <c r="Z34" s="425">
        <f>SUM(P34:Y34)</f>
        <v>0</v>
      </c>
      <c r="AA34" s="416">
        <f>+B34+O34+Z34</f>
        <v>817970</v>
      </c>
      <c r="AB34" s="388"/>
      <c r="AC34" s="390">
        <f>+AA34-B34</f>
        <v>100000</v>
      </c>
      <c r="AD34" s="127">
        <f>IF(B34=0,0,AC34/B34)</f>
        <v>0.13928158558157025</v>
      </c>
      <c r="AE34" s="1"/>
      <c r="AF34" s="207"/>
      <c r="AG34" s="207"/>
      <c r="AH34" s="207"/>
      <c r="AJ34" s="207"/>
      <c r="AK34" s="207"/>
      <c r="AL34" s="207"/>
      <c r="AM34" s="207"/>
      <c r="AU34" s="207"/>
      <c r="AY34" s="95"/>
    </row>
    <row r="35" spans="1:51" ht="15.75" x14ac:dyDescent="0.25">
      <c r="A35" s="453" t="s">
        <v>108</v>
      </c>
      <c r="B35" s="425">
        <v>0</v>
      </c>
      <c r="C35" s="39">
        <v>0</v>
      </c>
      <c r="D35" s="473">
        <v>0</v>
      </c>
      <c r="E35" s="444">
        <v>0</v>
      </c>
      <c r="F35" s="404">
        <v>0</v>
      </c>
      <c r="G35" s="403">
        <v>0</v>
      </c>
      <c r="H35" s="404">
        <v>0</v>
      </c>
      <c r="I35" s="405">
        <v>0</v>
      </c>
      <c r="J35" s="445">
        <f>SUM(E35:I35)</f>
        <v>0</v>
      </c>
      <c r="K35" s="207">
        <v>0</v>
      </c>
      <c r="L35" s="293">
        <v>0</v>
      </c>
      <c r="M35" s="217">
        <v>0</v>
      </c>
      <c r="N35" s="446">
        <f>SUM(K35:M35)</f>
        <v>0</v>
      </c>
      <c r="O35" s="426">
        <f>+J35+N35</f>
        <v>0</v>
      </c>
      <c r="P35" s="406">
        <v>0</v>
      </c>
      <c r="Q35" s="42">
        <v>0</v>
      </c>
      <c r="R35" s="319">
        <v>0</v>
      </c>
      <c r="S35" s="42">
        <v>0</v>
      </c>
      <c r="T35" s="42">
        <v>0</v>
      </c>
      <c r="U35" s="42">
        <v>0</v>
      </c>
      <c r="V35" s="42">
        <v>0</v>
      </c>
      <c r="W35" s="42">
        <v>0</v>
      </c>
      <c r="X35" s="42">
        <v>0</v>
      </c>
      <c r="Y35" s="174">
        <v>0</v>
      </c>
      <c r="Z35" s="426">
        <f>SUM(P35:Y35)</f>
        <v>0</v>
      </c>
      <c r="AA35" s="416">
        <f>+B35+O35+Z35</f>
        <v>0</v>
      </c>
      <c r="AB35" s="388"/>
      <c r="AC35" s="390">
        <f>+AA35-B35</f>
        <v>0</v>
      </c>
      <c r="AD35" s="127">
        <f>IF(B35=0,0,AC35/B35)</f>
        <v>0</v>
      </c>
      <c r="AE35" s="1"/>
      <c r="AF35" s="207"/>
      <c r="AG35" s="207"/>
      <c r="AH35" s="207"/>
      <c r="AJ35" s="207"/>
      <c r="AK35" s="207"/>
      <c r="AL35" s="207"/>
      <c r="AM35" s="207"/>
      <c r="AU35" s="207"/>
      <c r="AY35" s="95"/>
    </row>
    <row r="36" spans="1:51" ht="15.75" x14ac:dyDescent="0.25">
      <c r="A36" s="443" t="s">
        <v>109</v>
      </c>
      <c r="B36" s="424">
        <f t="shared" ref="B36:AA36" si="9">SUM(B34:B35)</f>
        <v>717970</v>
      </c>
      <c r="C36" s="41">
        <f t="shared" si="9"/>
        <v>0</v>
      </c>
      <c r="D36" s="474">
        <f t="shared" si="9"/>
        <v>800000</v>
      </c>
      <c r="E36" s="365">
        <f t="shared" si="9"/>
        <v>0</v>
      </c>
      <c r="F36" s="366">
        <f t="shared" si="9"/>
        <v>0</v>
      </c>
      <c r="G36" s="408">
        <f t="shared" si="9"/>
        <v>0</v>
      </c>
      <c r="H36" s="366">
        <f t="shared" si="9"/>
        <v>0</v>
      </c>
      <c r="I36" s="409">
        <f t="shared" si="9"/>
        <v>0</v>
      </c>
      <c r="J36" s="76">
        <f t="shared" si="9"/>
        <v>0</v>
      </c>
      <c r="K36" s="80">
        <f t="shared" si="9"/>
        <v>0</v>
      </c>
      <c r="L36" s="296">
        <f t="shared" si="9"/>
        <v>100000</v>
      </c>
      <c r="M36" s="260">
        <f t="shared" si="9"/>
        <v>0</v>
      </c>
      <c r="N36" s="396">
        <f t="shared" si="9"/>
        <v>100000</v>
      </c>
      <c r="O36" s="438">
        <f t="shared" si="9"/>
        <v>100000</v>
      </c>
      <c r="P36" s="367">
        <f t="shared" si="9"/>
        <v>0</v>
      </c>
      <c r="Q36" s="44">
        <f t="shared" si="9"/>
        <v>0</v>
      </c>
      <c r="R36" s="368">
        <f t="shared" si="9"/>
        <v>0</v>
      </c>
      <c r="S36" s="44">
        <f t="shared" si="9"/>
        <v>0</v>
      </c>
      <c r="T36" s="44">
        <f t="shared" si="9"/>
        <v>0</v>
      </c>
      <c r="U36" s="44">
        <f t="shared" si="9"/>
        <v>0</v>
      </c>
      <c r="V36" s="44">
        <f t="shared" si="9"/>
        <v>0</v>
      </c>
      <c r="W36" s="44">
        <f t="shared" si="9"/>
        <v>0</v>
      </c>
      <c r="X36" s="44">
        <f t="shared" si="9"/>
        <v>0</v>
      </c>
      <c r="Y36" s="342">
        <f t="shared" si="9"/>
        <v>0</v>
      </c>
      <c r="Z36" s="424">
        <f t="shared" si="9"/>
        <v>0</v>
      </c>
      <c r="AA36" s="418">
        <f t="shared" si="9"/>
        <v>817970</v>
      </c>
      <c r="AB36" s="410"/>
      <c r="AC36" s="392">
        <f>SUM(AC34:AC35)</f>
        <v>100000</v>
      </c>
      <c r="AD36" s="128">
        <f>IF(B36=0,0,AC36/B36)</f>
        <v>0.13928158558157025</v>
      </c>
      <c r="AE36" s="1"/>
      <c r="AF36" s="207"/>
      <c r="AG36" s="207"/>
      <c r="AH36" s="207"/>
      <c r="AJ36" s="207"/>
      <c r="AK36" s="207"/>
      <c r="AL36" s="207"/>
      <c r="AM36" s="207"/>
      <c r="AU36" s="207"/>
      <c r="AY36" s="95"/>
    </row>
    <row r="37" spans="1:51" ht="15.75" x14ac:dyDescent="0.25">
      <c r="A37" s="16"/>
      <c r="B37" s="425"/>
      <c r="C37" s="376"/>
      <c r="D37" s="471"/>
      <c r="E37" s="407"/>
      <c r="F37" s="303"/>
      <c r="G37" s="174"/>
      <c r="H37" s="303"/>
      <c r="I37" s="176"/>
      <c r="J37" s="74"/>
      <c r="K37" s="207"/>
      <c r="L37" s="293"/>
      <c r="M37" s="217"/>
      <c r="N37" s="95"/>
      <c r="O37" s="433"/>
      <c r="P37" s="286"/>
      <c r="Q37" s="58"/>
      <c r="R37" s="293"/>
      <c r="S37" s="58"/>
      <c r="T37" s="293"/>
      <c r="U37" s="58"/>
      <c r="V37" s="58"/>
      <c r="W37" s="58"/>
      <c r="X37" s="207"/>
      <c r="Y37" s="280"/>
      <c r="Z37" s="425"/>
      <c r="AA37" s="416"/>
      <c r="AB37" s="388"/>
      <c r="AC37" s="353"/>
      <c r="AD37" s="127"/>
      <c r="AE37" s="1"/>
      <c r="AF37" s="207"/>
      <c r="AG37" s="207"/>
      <c r="AH37" s="207"/>
      <c r="AJ37" s="207"/>
      <c r="AK37" s="207"/>
      <c r="AL37" s="207"/>
      <c r="AM37" s="207"/>
      <c r="AU37" s="207"/>
      <c r="AY37" s="95"/>
    </row>
    <row r="38" spans="1:51" ht="15.75" x14ac:dyDescent="0.25">
      <c r="A38" s="20" t="s">
        <v>18</v>
      </c>
      <c r="B38" s="425"/>
      <c r="C38" s="376"/>
      <c r="D38" s="471"/>
      <c r="E38" s="363"/>
      <c r="F38" s="364"/>
      <c r="G38" s="174"/>
      <c r="H38" s="303"/>
      <c r="I38" s="176"/>
      <c r="J38" s="74"/>
      <c r="K38" s="207"/>
      <c r="L38" s="293"/>
      <c r="M38" s="217"/>
      <c r="N38" s="95"/>
      <c r="O38" s="433"/>
      <c r="P38" s="286"/>
      <c r="Q38" s="58"/>
      <c r="R38" s="293"/>
      <c r="S38" s="58"/>
      <c r="T38" s="293"/>
      <c r="U38" s="58"/>
      <c r="V38" s="58"/>
      <c r="W38" s="58"/>
      <c r="X38" s="207"/>
      <c r="Y38" s="280"/>
      <c r="Z38" s="425"/>
      <c r="AA38" s="419"/>
      <c r="AB38" s="388"/>
      <c r="AC38" s="393"/>
      <c r="AD38" s="127"/>
      <c r="AE38" s="1"/>
      <c r="AF38" s="207"/>
      <c r="AG38" s="207"/>
      <c r="AH38" s="207"/>
      <c r="AJ38" s="207"/>
      <c r="AK38" s="207"/>
      <c r="AL38" s="207"/>
      <c r="AM38" s="207"/>
      <c r="AU38" s="207"/>
      <c r="AY38" s="95"/>
    </row>
    <row r="39" spans="1:51" ht="15.75" x14ac:dyDescent="0.25">
      <c r="A39" s="16" t="s">
        <v>15</v>
      </c>
      <c r="B39" s="425">
        <v>73614</v>
      </c>
      <c r="C39" s="376">
        <v>0</v>
      </c>
      <c r="D39" s="471">
        <v>76981</v>
      </c>
      <c r="E39" s="207">
        <v>0</v>
      </c>
      <c r="F39" s="58">
        <v>0</v>
      </c>
      <c r="G39" s="207">
        <v>1126</v>
      </c>
      <c r="H39" s="58">
        <v>0</v>
      </c>
      <c r="I39" s="217">
        <v>965</v>
      </c>
      <c r="J39" s="74">
        <f>SUM(E39:I39)</f>
        <v>2091</v>
      </c>
      <c r="K39" s="207">
        <v>0</v>
      </c>
      <c r="L39" s="293">
        <v>0</v>
      </c>
      <c r="M39" s="217">
        <v>0</v>
      </c>
      <c r="N39" s="237">
        <f>SUM(K39:M39)</f>
        <v>0</v>
      </c>
      <c r="O39" s="433">
        <f>+J39+N39</f>
        <v>2091</v>
      </c>
      <c r="P39" s="286">
        <v>0</v>
      </c>
      <c r="Q39" s="58">
        <v>0</v>
      </c>
      <c r="R39" s="293">
        <v>0</v>
      </c>
      <c r="S39" s="58">
        <v>0</v>
      </c>
      <c r="T39" s="293">
        <v>0</v>
      </c>
      <c r="U39" s="58">
        <v>0</v>
      </c>
      <c r="V39" s="58">
        <v>0</v>
      </c>
      <c r="W39" s="58">
        <v>0</v>
      </c>
      <c r="X39" s="207">
        <v>0</v>
      </c>
      <c r="Y39" s="280">
        <v>0</v>
      </c>
      <c r="Z39" s="425">
        <f>SUM(P39:Y39)</f>
        <v>0</v>
      </c>
      <c r="AA39" s="416">
        <f>+B39+O39+Z39</f>
        <v>75705</v>
      </c>
      <c r="AB39" s="388"/>
      <c r="AC39" s="390">
        <f>+AA39-B39</f>
        <v>2091</v>
      </c>
      <c r="AD39" s="127">
        <f t="shared" ref="AD39:AD45" si="10">IF(B39=0,0,AC39/B39)</f>
        <v>2.840492297660771E-2</v>
      </c>
      <c r="AE39" s="1"/>
      <c r="AF39" s="207"/>
      <c r="AG39" s="207"/>
      <c r="AH39" s="207"/>
      <c r="AJ39" s="207"/>
      <c r="AK39" s="207"/>
      <c r="AL39" s="207"/>
      <c r="AM39" s="207"/>
      <c r="AU39" s="207"/>
      <c r="AY39" s="95">
        <v>0</v>
      </c>
    </row>
    <row r="40" spans="1:51" ht="15.75" x14ac:dyDescent="0.25">
      <c r="A40" s="16" t="s">
        <v>31</v>
      </c>
      <c r="B40" s="425">
        <v>99423</v>
      </c>
      <c r="C40" s="376">
        <v>0</v>
      </c>
      <c r="D40" s="471">
        <v>103036</v>
      </c>
      <c r="E40" s="207">
        <v>0</v>
      </c>
      <c r="F40" s="58">
        <v>0</v>
      </c>
      <c r="G40" s="207">
        <v>1583</v>
      </c>
      <c r="H40" s="58">
        <v>0</v>
      </c>
      <c r="I40" s="217">
        <v>1430</v>
      </c>
      <c r="J40" s="74">
        <f>SUM(E40:I40)</f>
        <v>3013</v>
      </c>
      <c r="K40" s="207">
        <v>0</v>
      </c>
      <c r="L40" s="293">
        <v>0</v>
      </c>
      <c r="M40" s="217">
        <v>0</v>
      </c>
      <c r="N40" s="237">
        <f>SUM(K40:M40)</f>
        <v>0</v>
      </c>
      <c r="O40" s="433">
        <f>+J40+N40</f>
        <v>3013</v>
      </c>
      <c r="P40" s="286">
        <v>0</v>
      </c>
      <c r="Q40" s="58">
        <v>0</v>
      </c>
      <c r="R40" s="293">
        <v>0</v>
      </c>
      <c r="S40" s="58">
        <v>0</v>
      </c>
      <c r="T40" s="293">
        <v>0</v>
      </c>
      <c r="U40" s="58">
        <v>0</v>
      </c>
      <c r="V40" s="58">
        <v>0</v>
      </c>
      <c r="W40" s="58">
        <v>0</v>
      </c>
      <c r="X40" s="207">
        <v>0</v>
      </c>
      <c r="Y40" s="280">
        <v>0</v>
      </c>
      <c r="Z40" s="425">
        <f>SUM(P40:Y40)</f>
        <v>0</v>
      </c>
      <c r="AA40" s="416">
        <f>+B40+O40+Z40</f>
        <v>102436</v>
      </c>
      <c r="AB40" s="388"/>
      <c r="AC40" s="390">
        <f>+AA40-B40</f>
        <v>3013</v>
      </c>
      <c r="AD40" s="127">
        <f t="shared" si="10"/>
        <v>3.0304859036641422E-2</v>
      </c>
      <c r="AE40" s="1"/>
      <c r="AF40" s="207"/>
      <c r="AG40" s="207"/>
      <c r="AH40" s="207"/>
      <c r="AJ40" s="207"/>
      <c r="AK40" s="207"/>
      <c r="AL40" s="207"/>
      <c r="AM40" s="207"/>
      <c r="AU40" s="207"/>
      <c r="AY40" s="95">
        <v>0</v>
      </c>
    </row>
    <row r="41" spans="1:51" ht="15.75" x14ac:dyDescent="0.25">
      <c r="A41" s="16" t="s">
        <v>32</v>
      </c>
      <c r="B41" s="425">
        <v>105048</v>
      </c>
      <c r="C41" s="376">
        <v>0</v>
      </c>
      <c r="D41" s="471">
        <v>132377</v>
      </c>
      <c r="E41" s="207">
        <v>0</v>
      </c>
      <c r="F41" s="58">
        <v>0</v>
      </c>
      <c r="G41" s="207">
        <v>1787</v>
      </c>
      <c r="H41" s="58">
        <v>0</v>
      </c>
      <c r="I41" s="217">
        <v>0</v>
      </c>
      <c r="J41" s="74">
        <f>SUM(E41:I41)</f>
        <v>1787</v>
      </c>
      <c r="K41" s="207">
        <v>0</v>
      </c>
      <c r="L41" s="293">
        <v>0</v>
      </c>
      <c r="M41" s="217">
        <v>100000</v>
      </c>
      <c r="N41" s="95">
        <f>SUM(K41:M41)</f>
        <v>100000</v>
      </c>
      <c r="O41" s="433">
        <f>+J41+N41</f>
        <v>101787</v>
      </c>
      <c r="P41" s="286">
        <v>0</v>
      </c>
      <c r="Q41" s="58">
        <v>0</v>
      </c>
      <c r="R41" s="293">
        <v>0</v>
      </c>
      <c r="S41" s="58">
        <v>0</v>
      </c>
      <c r="T41" s="293">
        <v>0</v>
      </c>
      <c r="U41" s="58">
        <v>0</v>
      </c>
      <c r="V41" s="58">
        <v>0</v>
      </c>
      <c r="W41" s="58">
        <v>0</v>
      </c>
      <c r="X41" s="207">
        <v>0</v>
      </c>
      <c r="Y41" s="280">
        <v>0</v>
      </c>
      <c r="Z41" s="425">
        <f>SUM(P41:Y41)</f>
        <v>0</v>
      </c>
      <c r="AA41" s="416">
        <f>+B41+O41+Z41</f>
        <v>206835</v>
      </c>
      <c r="AB41" s="388"/>
      <c r="AC41" s="390">
        <f>+AA41-B41</f>
        <v>101787</v>
      </c>
      <c r="AD41" s="127">
        <f t="shared" si="10"/>
        <v>0.96895704820653417</v>
      </c>
      <c r="AE41" s="1"/>
      <c r="AF41" s="207"/>
      <c r="AG41" s="207"/>
      <c r="AH41" s="207"/>
      <c r="AJ41" s="207"/>
      <c r="AK41" s="207"/>
      <c r="AL41" s="207"/>
      <c r="AM41" s="207"/>
      <c r="AU41" s="207"/>
      <c r="AY41" s="95">
        <v>0</v>
      </c>
    </row>
    <row r="42" spans="1:51" ht="15.75" x14ac:dyDescent="0.25">
      <c r="A42" s="16" t="s">
        <v>33</v>
      </c>
      <c r="B42" s="425">
        <v>222610</v>
      </c>
      <c r="C42" s="376">
        <v>0</v>
      </c>
      <c r="D42" s="471">
        <v>233858</v>
      </c>
      <c r="E42" s="207">
        <v>1026</v>
      </c>
      <c r="F42" s="58">
        <v>731</v>
      </c>
      <c r="G42" s="207">
        <v>1907</v>
      </c>
      <c r="H42" s="58">
        <v>1062</v>
      </c>
      <c r="I42" s="217">
        <v>3971</v>
      </c>
      <c r="J42" s="74">
        <f>SUM(E42:I42)</f>
        <v>8697</v>
      </c>
      <c r="K42" s="268">
        <v>0</v>
      </c>
      <c r="L42" s="320">
        <v>0</v>
      </c>
      <c r="M42" s="217">
        <v>0</v>
      </c>
      <c r="N42" s="237">
        <f>SUM(K42:M42)</f>
        <v>0</v>
      </c>
      <c r="O42" s="433">
        <f>+J42+N42</f>
        <v>8697</v>
      </c>
      <c r="P42" s="286">
        <v>0</v>
      </c>
      <c r="Q42" s="58">
        <v>0</v>
      </c>
      <c r="R42" s="293">
        <v>0</v>
      </c>
      <c r="S42" s="58">
        <v>0</v>
      </c>
      <c r="T42" s="293">
        <v>0</v>
      </c>
      <c r="U42" s="58">
        <v>0</v>
      </c>
      <c r="V42" s="58">
        <v>0</v>
      </c>
      <c r="W42" s="58">
        <v>0</v>
      </c>
      <c r="X42" s="207">
        <v>0</v>
      </c>
      <c r="Y42" s="280">
        <v>0</v>
      </c>
      <c r="Z42" s="425">
        <f>SUM(P42:Y42)</f>
        <v>0</v>
      </c>
      <c r="AA42" s="416">
        <f>+B42+O42+Z42</f>
        <v>231307</v>
      </c>
      <c r="AB42" s="388"/>
      <c r="AC42" s="390">
        <f>+AA42-B42</f>
        <v>8697</v>
      </c>
      <c r="AD42" s="127">
        <f t="shared" si="10"/>
        <v>3.9068325771528682E-2</v>
      </c>
      <c r="AE42" s="1"/>
      <c r="AF42" s="207"/>
      <c r="AG42" s="207"/>
      <c r="AH42" s="207"/>
      <c r="AJ42" s="207"/>
      <c r="AK42" s="207"/>
      <c r="AL42" s="207"/>
      <c r="AM42" s="207"/>
      <c r="AU42" s="207"/>
      <c r="AY42" s="95">
        <v>0</v>
      </c>
    </row>
    <row r="43" spans="1:51" ht="15.75" x14ac:dyDescent="0.25">
      <c r="A43" s="16" t="s">
        <v>16</v>
      </c>
      <c r="B43" s="425">
        <f>22537</f>
        <v>22537</v>
      </c>
      <c r="C43" s="376">
        <v>0</v>
      </c>
      <c r="D43" s="475">
        <v>23654</v>
      </c>
      <c r="E43" s="207">
        <v>0</v>
      </c>
      <c r="F43" s="383">
        <v>0</v>
      </c>
      <c r="G43" s="207">
        <v>33</v>
      </c>
      <c r="H43" s="383">
        <v>825</v>
      </c>
      <c r="I43" s="217">
        <v>420</v>
      </c>
      <c r="J43" s="74">
        <f>SUM(E43:I43)</f>
        <v>1278</v>
      </c>
      <c r="K43" s="207">
        <v>0</v>
      </c>
      <c r="L43" s="293">
        <v>0</v>
      </c>
      <c r="M43" s="217">
        <v>0</v>
      </c>
      <c r="N43" s="237">
        <f>SUM(K43:M43)</f>
        <v>0</v>
      </c>
      <c r="O43" s="433">
        <f>+J43+N43</f>
        <v>1278</v>
      </c>
      <c r="P43" s="286">
        <v>0</v>
      </c>
      <c r="Q43" s="58">
        <v>0</v>
      </c>
      <c r="R43" s="293">
        <v>0</v>
      </c>
      <c r="S43" s="58">
        <v>0</v>
      </c>
      <c r="T43" s="293">
        <v>0</v>
      </c>
      <c r="U43" s="58">
        <v>0</v>
      </c>
      <c r="V43" s="58">
        <v>0</v>
      </c>
      <c r="W43" s="58">
        <v>0</v>
      </c>
      <c r="X43" s="207">
        <v>0</v>
      </c>
      <c r="Y43" s="280">
        <v>0</v>
      </c>
      <c r="Z43" s="425">
        <f>SUM(P43:Y43)</f>
        <v>0</v>
      </c>
      <c r="AA43" s="416">
        <f>+B43+O43+Z43</f>
        <v>23815</v>
      </c>
      <c r="AB43" s="388"/>
      <c r="AC43" s="390">
        <f>+AA43-B43</f>
        <v>1278</v>
      </c>
      <c r="AD43" s="127">
        <f t="shared" si="10"/>
        <v>5.6706748901805916E-2</v>
      </c>
      <c r="AE43" s="1"/>
      <c r="AF43" s="207"/>
      <c r="AG43" s="207"/>
      <c r="AH43" s="207"/>
      <c r="AJ43" s="207"/>
      <c r="AK43" s="207"/>
      <c r="AL43" s="207"/>
      <c r="AM43" s="207"/>
      <c r="AU43" s="207"/>
      <c r="AY43" s="95">
        <v>0</v>
      </c>
    </row>
    <row r="44" spans="1:51" ht="15.75" customHeight="1" x14ac:dyDescent="0.25">
      <c r="A44" s="19" t="s">
        <v>19</v>
      </c>
      <c r="B44" s="424">
        <f t="shared" ref="B44:G44" si="11">SUM(B39:B43)</f>
        <v>523232</v>
      </c>
      <c r="C44" s="370">
        <f t="shared" si="11"/>
        <v>0</v>
      </c>
      <c r="D44" s="476">
        <f t="shared" si="11"/>
        <v>569906</v>
      </c>
      <c r="E44" s="340">
        <f t="shared" si="11"/>
        <v>1026</v>
      </c>
      <c r="F44" s="341">
        <f t="shared" si="11"/>
        <v>731</v>
      </c>
      <c r="G44" s="344">
        <f t="shared" si="11"/>
        <v>6436</v>
      </c>
      <c r="H44" s="345">
        <f t="shared" ref="H44:AA44" si="12">SUM(H39:H43)</f>
        <v>1887</v>
      </c>
      <c r="I44" s="346">
        <f t="shared" si="12"/>
        <v>6786</v>
      </c>
      <c r="J44" s="76">
        <f t="shared" si="12"/>
        <v>16866</v>
      </c>
      <c r="K44" s="80">
        <f t="shared" si="12"/>
        <v>0</v>
      </c>
      <c r="L44" s="296">
        <f>SUM(L39:L43)</f>
        <v>0</v>
      </c>
      <c r="M44" s="260">
        <f t="shared" si="12"/>
        <v>100000</v>
      </c>
      <c r="N44" s="98">
        <f t="shared" si="12"/>
        <v>100000</v>
      </c>
      <c r="O44" s="436">
        <f t="shared" si="12"/>
        <v>116866</v>
      </c>
      <c r="P44" s="289">
        <f t="shared" si="12"/>
        <v>0</v>
      </c>
      <c r="Q44" s="269">
        <f t="shared" si="12"/>
        <v>0</v>
      </c>
      <c r="R44" s="296">
        <f t="shared" si="12"/>
        <v>0</v>
      </c>
      <c r="S44" s="269">
        <f t="shared" si="12"/>
        <v>0</v>
      </c>
      <c r="T44" s="296">
        <f t="shared" si="12"/>
        <v>0</v>
      </c>
      <c r="U44" s="269">
        <f t="shared" si="12"/>
        <v>0</v>
      </c>
      <c r="V44" s="269">
        <f t="shared" si="12"/>
        <v>0</v>
      </c>
      <c r="W44" s="269">
        <f t="shared" si="12"/>
        <v>0</v>
      </c>
      <c r="X44" s="80">
        <f>SUM(X39:X43)</f>
        <v>0</v>
      </c>
      <c r="Y44" s="283">
        <f t="shared" si="12"/>
        <v>0</v>
      </c>
      <c r="Z44" s="424">
        <f t="shared" si="12"/>
        <v>0</v>
      </c>
      <c r="AA44" s="418">
        <f t="shared" si="12"/>
        <v>640098</v>
      </c>
      <c r="AB44" s="388"/>
      <c r="AC44" s="394">
        <f>SUM(AC39:AC43)</f>
        <v>116866</v>
      </c>
      <c r="AD44" s="128">
        <f t="shared" si="10"/>
        <v>0.22335407620329031</v>
      </c>
      <c r="AE44" s="1"/>
      <c r="AF44" s="207"/>
      <c r="AG44" s="207"/>
      <c r="AH44" s="207"/>
      <c r="AJ44" s="207"/>
      <c r="AK44" s="207"/>
      <c r="AL44" s="207"/>
      <c r="AM44" s="207"/>
      <c r="AU44" s="261">
        <f>SUM(AU39:AU43)</f>
        <v>0</v>
      </c>
      <c r="AY44" s="99">
        <f>SUM(AY39:AY43)</f>
        <v>0</v>
      </c>
    </row>
    <row r="45" spans="1:51" ht="24" customHeight="1" thickBot="1" x14ac:dyDescent="0.3">
      <c r="A45" s="21" t="s">
        <v>23</v>
      </c>
      <c r="B45" s="427">
        <f>+B31+B36+B44</f>
        <v>4807589</v>
      </c>
      <c r="C45" s="309">
        <f>+C31+C36+C44</f>
        <v>0</v>
      </c>
      <c r="D45" s="477">
        <f>+D31+D36+D44</f>
        <v>5185015</v>
      </c>
      <c r="E45" s="82">
        <f>++E31+E354+E44</f>
        <v>7964</v>
      </c>
      <c r="F45" s="271">
        <f>+F31+F36+F44</f>
        <v>11946</v>
      </c>
      <c r="G45" s="64">
        <f>G31+G36+G44</f>
        <v>10385</v>
      </c>
      <c r="H45" s="84">
        <f>+H31+H36+H44</f>
        <v>70068</v>
      </c>
      <c r="I45" s="347">
        <f>+I31+I36+I44</f>
        <v>68711</v>
      </c>
      <c r="J45" s="77">
        <f>+J31+J36+J44</f>
        <v>169074</v>
      </c>
      <c r="K45" s="276">
        <f>+K31+K36+K44</f>
        <v>75000</v>
      </c>
      <c r="L45" s="297">
        <f>+L31+L36+L44</f>
        <v>100000</v>
      </c>
      <c r="M45" s="262">
        <f>+M31++M36+M44</f>
        <v>100000</v>
      </c>
      <c r="N45" s="100">
        <f>+N31+N36+N44</f>
        <v>275000</v>
      </c>
      <c r="O45" s="439">
        <f>+O31+O36+O44</f>
        <v>444074</v>
      </c>
      <c r="P45" s="290">
        <f>+P31+P36+P44</f>
        <v>0</v>
      </c>
      <c r="Q45" s="298">
        <f>+Q31+Q36+Q44</f>
        <v>0</v>
      </c>
      <c r="R45" s="298">
        <f t="shared" ref="R45:X45" si="13">+R31+R36+R44</f>
        <v>0</v>
      </c>
      <c r="S45" s="298">
        <f t="shared" si="13"/>
        <v>0</v>
      </c>
      <c r="T45" s="298">
        <f t="shared" si="13"/>
        <v>0</v>
      </c>
      <c r="U45" s="298">
        <f t="shared" si="13"/>
        <v>0</v>
      </c>
      <c r="V45" s="298">
        <f t="shared" si="13"/>
        <v>0</v>
      </c>
      <c r="W45" s="298">
        <f t="shared" si="13"/>
        <v>0</v>
      </c>
      <c r="X45" s="298">
        <f t="shared" si="13"/>
        <v>0</v>
      </c>
      <c r="Y45" s="284">
        <f>+Y31+Y36+Y44</f>
        <v>0</v>
      </c>
      <c r="Z45" s="427">
        <f>+Z31+Z36+Z44</f>
        <v>0</v>
      </c>
      <c r="AA45" s="420">
        <f>+AA31+AA36+AA44</f>
        <v>5251663</v>
      </c>
      <c r="AB45" s="388"/>
      <c r="AC45" s="369">
        <f>+AC31+AC36+AC44</f>
        <v>444074</v>
      </c>
      <c r="AD45" s="455">
        <f t="shared" si="10"/>
        <v>9.2369376833169398E-2</v>
      </c>
      <c r="AE45" s="1"/>
      <c r="AF45" s="242"/>
      <c r="AG45" s="242"/>
      <c r="AH45" s="243"/>
      <c r="AJ45" s="242"/>
      <c r="AK45" s="242"/>
      <c r="AL45" s="242"/>
      <c r="AM45" s="243"/>
      <c r="AU45" s="262">
        <f>+AU31+AU44</f>
        <v>0</v>
      </c>
      <c r="AY45" s="100">
        <f>+AY31+AY44</f>
        <v>495081961</v>
      </c>
    </row>
    <row r="46" spans="1:51" s="9" customFormat="1" ht="17.25" customHeight="1" thickTop="1" x14ac:dyDescent="0.3">
      <c r="A46" s="6" t="s">
        <v>50</v>
      </c>
      <c r="B46" s="6"/>
      <c r="C46" s="348"/>
      <c r="D46" s="310">
        <f>D45-B45</f>
        <v>377426</v>
      </c>
      <c r="E46" s="258"/>
      <c r="F46" s="258"/>
      <c r="G46" s="259"/>
      <c r="H46" s="6"/>
      <c r="I46" s="6"/>
      <c r="J46" s="46"/>
      <c r="K46" s="6"/>
      <c r="L46" s="6"/>
      <c r="M46" s="6"/>
      <c r="N46" s="6"/>
      <c r="O46" s="46">
        <f>+J45+N45</f>
        <v>444074</v>
      </c>
      <c r="P46" s="6"/>
      <c r="Q46" s="6"/>
      <c r="R46" s="6"/>
      <c r="S46" s="6"/>
      <c r="T46" s="6"/>
      <c r="U46" s="6"/>
      <c r="V46" s="6"/>
      <c r="W46" s="6"/>
      <c r="X46" s="6"/>
      <c r="Y46" s="6"/>
      <c r="Z46" s="6"/>
      <c r="AA46" s="46">
        <f>AA45-B45</f>
        <v>444074</v>
      </c>
      <c r="AB46" s="46"/>
      <c r="AC46" s="8"/>
      <c r="AD46" s="8"/>
      <c r="AE46" s="10"/>
      <c r="AF46" s="244"/>
      <c r="AG46" s="244"/>
      <c r="AH46" s="244"/>
      <c r="AI46" s="244"/>
      <c r="AJ46" s="244"/>
      <c r="AK46" s="244"/>
      <c r="AL46" s="244"/>
      <c r="AM46" s="244"/>
      <c r="AN46" s="244"/>
    </row>
    <row r="47" spans="1:51" s="9" customFormat="1" ht="17.25" customHeight="1" x14ac:dyDescent="0.3">
      <c r="A47" s="47" t="s">
        <v>51</v>
      </c>
      <c r="B47" s="47"/>
      <c r="C47" s="47"/>
      <c r="D47" s="48">
        <f>D46/B45</f>
        <v>7.8506294943265748E-2</v>
      </c>
      <c r="E47" s="304"/>
      <c r="F47" s="257"/>
      <c r="G47" s="257"/>
      <c r="H47" s="47"/>
      <c r="I47" s="47"/>
      <c r="J47" s="305"/>
      <c r="K47" s="47"/>
      <c r="L47" s="47"/>
      <c r="M47" s="47"/>
      <c r="N47" s="47"/>
      <c r="O47" s="456">
        <f>IF(B45=0,0,O46/B45)</f>
        <v>9.2369376833169398E-2</v>
      </c>
      <c r="P47" s="47"/>
      <c r="Q47" s="47"/>
      <c r="R47" s="47"/>
      <c r="S47" s="47"/>
      <c r="T47" s="47"/>
      <c r="U47" s="47"/>
      <c r="V47" s="47"/>
      <c r="W47" s="47"/>
      <c r="X47" s="47"/>
      <c r="Y47" s="47"/>
      <c r="Z47" s="47"/>
      <c r="AA47" s="456">
        <f>IF(B45=0,0,AA46/B45)</f>
        <v>9.2369376833169398E-2</v>
      </c>
      <c r="AB47" s="384"/>
      <c r="AC47" s="8"/>
      <c r="AD47" s="8"/>
      <c r="AE47" s="10"/>
      <c r="AF47" s="244"/>
      <c r="AG47" s="244"/>
      <c r="AH47" s="244"/>
      <c r="AI47" s="244"/>
      <c r="AJ47" s="244"/>
      <c r="AK47" s="244"/>
      <c r="AL47" s="244"/>
      <c r="AM47" s="244"/>
      <c r="AN47" s="244"/>
    </row>
    <row r="48" spans="1:51" s="9" customFormat="1" ht="6.75" customHeight="1" x14ac:dyDescent="0.3">
      <c r="A48" s="6"/>
      <c r="B48" s="6"/>
      <c r="C48" s="349"/>
      <c r="D48" s="6"/>
      <c r="E48" s="6"/>
      <c r="F48" s="6"/>
      <c r="G48" s="6"/>
      <c r="H48" s="6"/>
      <c r="I48" s="6"/>
      <c r="J48" s="46"/>
      <c r="K48" s="6"/>
      <c r="L48" s="6"/>
      <c r="M48" s="6"/>
      <c r="N48" s="6"/>
      <c r="O48" s="6"/>
      <c r="P48" s="66"/>
      <c r="Q48" s="277"/>
      <c r="R48" s="277"/>
      <c r="S48" s="277"/>
      <c r="T48" s="277"/>
      <c r="U48" s="277"/>
      <c r="V48" s="277"/>
      <c r="W48" s="6"/>
      <c r="X48" s="6"/>
      <c r="Y48" s="1145"/>
      <c r="Z48" s="1145"/>
      <c r="AA48" s="6"/>
      <c r="AB48" s="6"/>
      <c r="AC48" s="8"/>
      <c r="AD48" s="8"/>
      <c r="AE48" s="10"/>
      <c r="AF48" s="244"/>
      <c r="AG48" s="244"/>
      <c r="AH48" s="244"/>
      <c r="AI48" s="244"/>
      <c r="AJ48" s="244"/>
      <c r="AK48" s="244"/>
      <c r="AL48" s="244"/>
      <c r="AM48" s="244"/>
      <c r="AN48" s="244"/>
    </row>
    <row r="49" spans="1:40" s="52" customFormat="1" ht="20.100000000000001" customHeight="1" x14ac:dyDescent="0.3">
      <c r="A49" s="6" t="s">
        <v>111</v>
      </c>
      <c r="B49" s="50"/>
      <c r="C49" s="349"/>
      <c r="D49" s="2"/>
      <c r="E49" s="49"/>
      <c r="F49" s="49"/>
      <c r="G49" s="49"/>
      <c r="H49" s="49"/>
      <c r="I49" s="49"/>
      <c r="J49" s="256"/>
      <c r="K49" s="254"/>
      <c r="L49" s="254"/>
      <c r="M49" s="254"/>
      <c r="O49" s="254"/>
      <c r="P49" s="2"/>
      <c r="Q49" s="2"/>
      <c r="R49" s="2"/>
      <c r="S49" s="2"/>
      <c r="T49" s="2"/>
      <c r="U49" s="2"/>
      <c r="V49" s="2"/>
      <c r="W49" s="2"/>
      <c r="X49" s="2"/>
      <c r="Y49" s="51"/>
      <c r="AA49" s="59"/>
      <c r="AB49" s="59"/>
      <c r="AC49" s="53"/>
      <c r="AD49" s="53"/>
      <c r="AE49" s="54"/>
      <c r="AF49" s="245"/>
      <c r="AG49" s="245"/>
      <c r="AH49" s="245"/>
      <c r="AI49" s="245"/>
      <c r="AJ49" s="245"/>
      <c r="AK49" s="245"/>
      <c r="AL49" s="245"/>
      <c r="AM49" s="245"/>
      <c r="AN49" s="245"/>
    </row>
    <row r="50" spans="1:40" s="9" customFormat="1" ht="16.5" x14ac:dyDescent="0.3">
      <c r="A50" s="6"/>
      <c r="B50" s="6"/>
      <c r="C50" s="6"/>
      <c r="D50" s="6"/>
      <c r="E50" s="6"/>
      <c r="F50" s="6"/>
      <c r="G50" s="6"/>
      <c r="H50" s="6"/>
      <c r="I50" s="6"/>
      <c r="J50" s="6"/>
      <c r="K50" s="6"/>
      <c r="L50" s="6"/>
      <c r="M50" s="6"/>
      <c r="O50" s="6"/>
      <c r="P50" s="6"/>
      <c r="Q50" s="6"/>
      <c r="R50" s="6"/>
      <c r="S50" s="6"/>
      <c r="T50" s="6"/>
      <c r="U50" s="6"/>
      <c r="V50" s="6"/>
      <c r="W50" s="6"/>
      <c r="X50" s="6"/>
      <c r="Y50" s="6"/>
      <c r="Z50" s="6"/>
      <c r="AA50" s="6"/>
      <c r="AB50" s="6"/>
      <c r="AC50" s="8"/>
      <c r="AD50" s="8"/>
      <c r="AE50" s="10"/>
      <c r="AF50" s="244"/>
      <c r="AG50" s="244"/>
      <c r="AH50" s="244"/>
      <c r="AI50" s="244"/>
      <c r="AJ50" s="244"/>
      <c r="AK50" s="244"/>
      <c r="AL50" s="244"/>
      <c r="AM50" s="244"/>
      <c r="AN50" s="244"/>
    </row>
    <row r="51" spans="1:40" s="9" customFormat="1" ht="16.5" x14ac:dyDescent="0.3">
      <c r="A51" s="6" t="s">
        <v>101</v>
      </c>
      <c r="B51" s="10"/>
      <c r="C51" s="10"/>
      <c r="D51" s="10"/>
      <c r="E51" s="10"/>
      <c r="F51" s="10"/>
      <c r="G51" s="10"/>
      <c r="H51" s="10"/>
      <c r="I51" s="10"/>
      <c r="J51" s="10"/>
      <c r="K51" s="10"/>
      <c r="L51" s="10"/>
      <c r="M51" s="129"/>
      <c r="O51" s="129"/>
      <c r="P51" s="10"/>
      <c r="Q51" s="10"/>
      <c r="R51" s="10"/>
      <c r="S51" s="10"/>
      <c r="T51" s="10"/>
      <c r="U51" s="10"/>
      <c r="V51" s="10"/>
      <c r="W51" s="10"/>
      <c r="X51" s="1122" t="s">
        <v>88</v>
      </c>
      <c r="Y51" s="1122"/>
      <c r="Z51" s="1122"/>
      <c r="AA51" s="46">
        <f>B45*AC51+B45</f>
        <v>6394093.3700000001</v>
      </c>
      <c r="AB51" s="46"/>
      <c r="AC51" s="401">
        <v>0.33</v>
      </c>
      <c r="AE51" s="10"/>
      <c r="AF51" s="244"/>
      <c r="AG51" s="244"/>
      <c r="AH51" s="244"/>
      <c r="AI51" s="244"/>
      <c r="AJ51" s="244"/>
      <c r="AK51" s="244"/>
      <c r="AL51" s="244"/>
      <c r="AM51" s="244"/>
      <c r="AN51" s="244"/>
    </row>
    <row r="52" spans="1:40" s="9" customFormat="1" ht="16.5" x14ac:dyDescent="0.3">
      <c r="A52" s="10"/>
      <c r="B52" s="10"/>
      <c r="C52" s="10"/>
      <c r="D52" s="81"/>
      <c r="E52" s="10"/>
      <c r="F52" s="10"/>
      <c r="G52" s="10"/>
      <c r="H52" s="10"/>
      <c r="I52" s="10"/>
      <c r="J52" s="10"/>
      <c r="K52" s="10"/>
      <c r="L52" s="10"/>
      <c r="Q52" s="10"/>
      <c r="R52" s="10"/>
      <c r="S52" s="10"/>
      <c r="T52" s="10"/>
      <c r="U52" s="10"/>
      <c r="V52" s="10"/>
      <c r="W52" s="10"/>
      <c r="X52" s="1136"/>
      <c r="Y52" s="1136"/>
      <c r="Z52" s="1136"/>
      <c r="AA52" s="46">
        <f>-AA45</f>
        <v>-5251663</v>
      </c>
      <c r="AB52" s="46"/>
      <c r="AE52" s="10"/>
      <c r="AF52" s="244"/>
      <c r="AG52" s="244"/>
      <c r="AH52" s="244"/>
      <c r="AI52" s="244"/>
      <c r="AJ52" s="244"/>
      <c r="AK52" s="244"/>
      <c r="AL52" s="244"/>
      <c r="AM52" s="244"/>
      <c r="AN52" s="244"/>
    </row>
    <row r="53" spans="1:40" s="9" customFormat="1" ht="20.100000000000001" customHeight="1" x14ac:dyDescent="0.3">
      <c r="A53" s="454"/>
      <c r="B53" s="454"/>
      <c r="C53" s="454"/>
      <c r="D53" s="454"/>
      <c r="E53" s="454"/>
      <c r="F53" s="454"/>
      <c r="G53" s="454"/>
      <c r="H53" s="454"/>
      <c r="I53" s="454"/>
      <c r="J53" s="454"/>
      <c r="K53" s="454"/>
      <c r="L53" s="454"/>
      <c r="M53" s="454"/>
      <c r="N53" s="454"/>
      <c r="O53" s="454"/>
      <c r="P53" s="454"/>
      <c r="Q53" s="454"/>
      <c r="R53" s="454"/>
      <c r="S53" s="454"/>
      <c r="T53" s="454"/>
      <c r="U53" s="454"/>
      <c r="V53" s="454"/>
      <c r="W53" s="454"/>
      <c r="X53" s="1137" t="s">
        <v>89</v>
      </c>
      <c r="Y53" s="1137"/>
      <c r="Z53" s="1137"/>
      <c r="AA53" s="306">
        <f>SUM(AA51:AA52)</f>
        <v>1142430.3700000001</v>
      </c>
      <c r="AB53" s="306"/>
      <c r="AC53" s="249"/>
      <c r="AF53" s="244"/>
      <c r="AG53" s="244"/>
      <c r="AH53" s="244"/>
      <c r="AI53" s="244"/>
      <c r="AJ53" s="244"/>
      <c r="AK53" s="244"/>
      <c r="AL53" s="244"/>
      <c r="AM53" s="244"/>
      <c r="AN53" s="244"/>
    </row>
    <row r="54" spans="1:40" s="9" customFormat="1" ht="16.5" x14ac:dyDescent="0.3">
      <c r="A54" s="6"/>
      <c r="B54" s="10"/>
      <c r="C54" s="10"/>
      <c r="E54" s="10"/>
      <c r="F54" s="10"/>
      <c r="G54" s="10"/>
      <c r="H54" s="10"/>
      <c r="I54" s="10"/>
      <c r="J54" s="10"/>
      <c r="K54" s="10"/>
      <c r="L54" s="10"/>
      <c r="M54" s="10"/>
      <c r="N54" s="130"/>
      <c r="O54" s="130"/>
      <c r="P54" s="10"/>
      <c r="Q54" s="10"/>
      <c r="R54" s="10"/>
      <c r="S54" s="10"/>
      <c r="T54" s="10"/>
      <c r="U54" s="10"/>
      <c r="V54" s="10"/>
      <c r="W54" s="10"/>
      <c r="X54" s="10"/>
      <c r="Y54" s="10"/>
      <c r="Z54" s="10"/>
      <c r="AA54" s="307"/>
      <c r="AB54" s="307"/>
      <c r="AF54" s="244"/>
      <c r="AG54" s="244"/>
      <c r="AH54" s="244"/>
      <c r="AI54" s="244"/>
      <c r="AJ54" s="244"/>
      <c r="AK54" s="244"/>
      <c r="AL54" s="244"/>
      <c r="AM54" s="244"/>
      <c r="AN54" s="244"/>
    </row>
    <row r="55" spans="1:40" ht="16.5" x14ac:dyDescent="0.3">
      <c r="A55" s="67"/>
      <c r="B55" s="68"/>
      <c r="C55" s="68"/>
      <c r="E55" s="22"/>
      <c r="F55" s="22"/>
      <c r="G55" s="22"/>
      <c r="H55" s="22"/>
      <c r="I55" s="22"/>
      <c r="J55" s="22"/>
      <c r="K55" s="4"/>
      <c r="L55" s="4"/>
      <c r="O55" s="6"/>
      <c r="P55" s="4"/>
      <c r="Q55" s="9"/>
      <c r="R55" s="4"/>
      <c r="S55" s="4"/>
      <c r="T55" s="4"/>
      <c r="U55" s="4"/>
      <c r="V55" s="4"/>
      <c r="X55" s="1120" t="s">
        <v>104</v>
      </c>
      <c r="Y55" s="1120"/>
      <c r="Z55" s="1120"/>
      <c r="AA55" s="46">
        <f>B45*AC51</f>
        <v>1586504.37</v>
      </c>
      <c r="AB55" s="46"/>
    </row>
    <row r="56" spans="1:40" ht="16.5" x14ac:dyDescent="0.3">
      <c r="A56" s="6"/>
      <c r="B56" s="11"/>
      <c r="C56" s="11"/>
      <c r="D56" s="11"/>
      <c r="E56" s="11"/>
      <c r="F56" s="11"/>
      <c r="G56" s="11"/>
      <c r="H56" s="11"/>
      <c r="I56" s="11"/>
      <c r="J56" s="11"/>
      <c r="K56" s="4"/>
      <c r="L56" s="4"/>
      <c r="O56" s="6"/>
      <c r="P56" s="4"/>
      <c r="Q56" s="4"/>
      <c r="R56" s="4"/>
      <c r="S56" s="4"/>
      <c r="T56" s="4"/>
      <c r="U56" s="4"/>
      <c r="V56" s="4"/>
      <c r="W56" s="4"/>
      <c r="X56" s="4"/>
      <c r="Y56" s="4"/>
      <c r="Z56" s="4"/>
      <c r="AA56" s="308"/>
      <c r="AB56" s="308"/>
    </row>
    <row r="57" spans="1:40" ht="16.5" x14ac:dyDescent="0.3">
      <c r="A57" s="12"/>
      <c r="B57" s="11"/>
      <c r="C57" s="11"/>
      <c r="D57" s="11"/>
      <c r="E57" s="11"/>
      <c r="F57" s="11"/>
      <c r="G57" s="11"/>
      <c r="H57" s="11"/>
      <c r="I57" s="11"/>
      <c r="J57" s="11"/>
      <c r="K57" s="4"/>
      <c r="L57" s="4"/>
      <c r="O57" s="250"/>
      <c r="P57" s="4"/>
      <c r="Q57" s="4"/>
      <c r="R57" s="4"/>
      <c r="S57" s="4"/>
      <c r="T57" s="4"/>
      <c r="U57" s="4"/>
      <c r="V57" s="4"/>
      <c r="W57" s="4"/>
      <c r="X57" s="4"/>
      <c r="Y57" s="4"/>
      <c r="Z57" s="4"/>
      <c r="AA57" s="4"/>
      <c r="AB57" s="4"/>
    </row>
    <row r="58" spans="1:40" ht="15" x14ac:dyDescent="0.2">
      <c r="A58" s="12"/>
      <c r="B58" s="11"/>
      <c r="C58" s="11"/>
      <c r="D58" s="11"/>
      <c r="E58" s="11"/>
      <c r="F58" s="11"/>
      <c r="G58" s="11"/>
      <c r="H58" s="11"/>
      <c r="I58" s="11"/>
      <c r="J58" s="11"/>
      <c r="K58" s="4"/>
      <c r="L58" s="4"/>
      <c r="O58" s="10"/>
      <c r="P58" s="10"/>
      <c r="Q58" s="10"/>
      <c r="R58" s="10"/>
      <c r="S58" s="10"/>
      <c r="T58" s="4"/>
      <c r="U58" s="4"/>
      <c r="V58" s="4"/>
      <c r="W58" s="4"/>
      <c r="X58" s="4"/>
      <c r="Y58" s="4"/>
      <c r="Z58" s="4"/>
      <c r="AA58" s="4"/>
      <c r="AB58" s="4"/>
    </row>
    <row r="59" spans="1:40" ht="15" x14ac:dyDescent="0.2">
      <c r="A59" s="12"/>
      <c r="B59" s="11"/>
      <c r="C59" s="11"/>
      <c r="D59" s="11"/>
      <c r="E59" s="11"/>
      <c r="F59" s="11"/>
      <c r="G59" s="11"/>
      <c r="H59" s="11"/>
      <c r="I59" s="11"/>
      <c r="J59" s="11"/>
      <c r="K59" s="4"/>
      <c r="L59" s="4"/>
      <c r="M59" s="4"/>
      <c r="N59" s="4"/>
      <c r="O59" s="4"/>
      <c r="P59" s="4"/>
      <c r="Q59" s="4"/>
      <c r="R59" s="4"/>
      <c r="S59" s="4"/>
      <c r="T59" s="4"/>
      <c r="U59" s="4"/>
      <c r="V59" s="4"/>
      <c r="W59" s="4"/>
      <c r="X59" s="4"/>
      <c r="Y59" s="4"/>
      <c r="Z59" s="4"/>
      <c r="AA59" s="4"/>
      <c r="AB59" s="4"/>
    </row>
    <row r="60" spans="1:40" ht="15" x14ac:dyDescent="0.2">
      <c r="B60" s="1"/>
      <c r="C60" s="1"/>
      <c r="D60" s="1"/>
      <c r="E60" s="1"/>
      <c r="F60" s="1"/>
      <c r="G60" s="1"/>
      <c r="H60" s="1"/>
      <c r="I60" s="1"/>
      <c r="J60" s="1"/>
      <c r="K60" s="4"/>
      <c r="L60" s="4"/>
      <c r="M60" s="4"/>
      <c r="N60" s="4"/>
      <c r="O60" s="4"/>
      <c r="P60" s="4"/>
      <c r="Q60" s="4"/>
      <c r="R60" s="4"/>
      <c r="S60" s="4"/>
      <c r="T60" s="4"/>
      <c r="U60" s="4"/>
      <c r="V60" s="4"/>
      <c r="W60" s="4"/>
      <c r="X60" s="4"/>
      <c r="Y60" s="4"/>
      <c r="Z60" s="4"/>
      <c r="AA60" s="4"/>
      <c r="AB60" s="4"/>
    </row>
    <row r="61" spans="1:40" ht="15" x14ac:dyDescent="0.2">
      <c r="B61" s="1"/>
      <c r="C61" s="1"/>
      <c r="D61" s="1"/>
      <c r="E61" s="1"/>
      <c r="F61" s="1"/>
      <c r="G61" s="1"/>
      <c r="H61" s="1"/>
      <c r="I61" s="1"/>
      <c r="J61" s="1"/>
      <c r="K61" s="4"/>
      <c r="L61" s="4"/>
      <c r="M61" s="4"/>
      <c r="N61" s="4"/>
      <c r="O61" s="4"/>
      <c r="P61" s="4"/>
      <c r="Q61" s="4"/>
      <c r="R61" s="4"/>
      <c r="S61" s="4"/>
      <c r="T61" s="4"/>
      <c r="U61" s="4"/>
      <c r="V61" s="4"/>
      <c r="W61" s="4"/>
      <c r="X61" s="4"/>
      <c r="Y61" s="4"/>
      <c r="Z61" s="4"/>
      <c r="AA61" s="4"/>
      <c r="AB61" s="4"/>
    </row>
    <row r="62" spans="1:40" ht="16.5" x14ac:dyDescent="0.3">
      <c r="B62" s="1"/>
      <c r="C62" s="1"/>
      <c r="D62" s="1"/>
      <c r="E62" s="1"/>
      <c r="F62" s="1"/>
      <c r="G62" s="1"/>
      <c r="H62" s="1"/>
      <c r="I62" s="1"/>
      <c r="J62" s="1"/>
      <c r="K62" s="4"/>
      <c r="L62" s="4"/>
      <c r="M62" s="4"/>
      <c r="N62" s="4"/>
      <c r="O62" s="4"/>
      <c r="P62" s="4"/>
      <c r="Q62" s="4"/>
      <c r="R62" s="4"/>
      <c r="S62" s="4"/>
      <c r="T62" s="4"/>
      <c r="U62" s="4"/>
      <c r="V62" s="4"/>
      <c r="W62" s="4"/>
      <c r="X62" s="4"/>
      <c r="Y62" s="4"/>
      <c r="Z62" s="4"/>
      <c r="AA62" s="46"/>
      <c r="AB62" s="4"/>
    </row>
    <row r="78" spans="5:5" x14ac:dyDescent="0.2">
      <c r="E78" s="23"/>
    </row>
  </sheetData>
  <mergeCells count="23">
    <mergeCell ref="AC8:AD8"/>
    <mergeCell ref="G10:H10"/>
    <mergeCell ref="AC10:AD11"/>
    <mergeCell ref="Y48:Z48"/>
    <mergeCell ref="X51:Z51"/>
    <mergeCell ref="E8:I8"/>
    <mergeCell ref="K8:M8"/>
    <mergeCell ref="P8:Y8"/>
    <mergeCell ref="B8:C8"/>
    <mergeCell ref="X55:Z55"/>
    <mergeCell ref="X52:Z52"/>
    <mergeCell ref="X53:Z53"/>
    <mergeCell ref="A1:AA1"/>
    <mergeCell ref="A2:AA2"/>
    <mergeCell ref="A3:AA3"/>
    <mergeCell ref="A4:AA4"/>
    <mergeCell ref="AF6:AG6"/>
    <mergeCell ref="AJ6:AL6"/>
    <mergeCell ref="E6:N6"/>
    <mergeCell ref="C6:C7"/>
    <mergeCell ref="E7:J7"/>
    <mergeCell ref="K7:N7"/>
    <mergeCell ref="P7:Z7"/>
  </mergeCells>
  <printOptions horizontalCentered="1" verticalCentered="1" headings="1"/>
  <pageMargins left="0.25" right="0.25" top="0.75" bottom="0.75" header="0.3" footer="0.3"/>
  <pageSetup paperSize="5" scale="56" fitToWidth="0" orientation="landscape" r:id="rId1"/>
  <headerFooter>
    <oddHeader>&amp;RDeliverable 5b</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7:K41"/>
  <sheetViews>
    <sheetView workbookViewId="0">
      <selection activeCell="F13" sqref="F13"/>
    </sheetView>
  </sheetViews>
  <sheetFormatPr defaultRowHeight="12.75" x14ac:dyDescent="0.2"/>
  <cols>
    <col min="2" max="2" width="9.7109375" bestFit="1" customWidth="1"/>
    <col min="4" max="4" width="11" bestFit="1" customWidth="1"/>
    <col min="5" max="5" width="9.7109375" bestFit="1" customWidth="1"/>
  </cols>
  <sheetData>
    <row r="7" spans="1:11" ht="13.5" thickBot="1" x14ac:dyDescent="0.25"/>
    <row r="8" spans="1:11" ht="19.5" thickBot="1" x14ac:dyDescent="0.3">
      <c r="A8" s="229"/>
      <c r="B8" s="230"/>
      <c r="C8" s="230"/>
      <c r="D8" s="230"/>
      <c r="E8" s="231"/>
      <c r="F8" s="1111" t="s">
        <v>79</v>
      </c>
      <c r="G8" s="1112"/>
      <c r="H8" s="1147"/>
      <c r="I8" s="1147"/>
      <c r="J8" s="1147"/>
      <c r="K8" s="1148"/>
    </row>
    <row r="9" spans="1:11" ht="18.75" x14ac:dyDescent="0.3">
      <c r="A9" s="232"/>
      <c r="B9" s="1093" t="s">
        <v>48</v>
      </c>
      <c r="C9" s="1146"/>
      <c r="D9" s="233" t="s">
        <v>53</v>
      </c>
      <c r="E9" s="233" t="s">
        <v>55</v>
      </c>
      <c r="F9" s="1149" t="s">
        <v>59</v>
      </c>
      <c r="G9" s="1150"/>
      <c r="H9" s="1150"/>
      <c r="I9" s="1150"/>
      <c r="J9" s="1150"/>
      <c r="K9" s="69"/>
    </row>
    <row r="10" spans="1:11" ht="15.75" x14ac:dyDescent="0.25">
      <c r="A10" s="55"/>
      <c r="B10" s="56"/>
      <c r="C10" s="91"/>
      <c r="D10" s="26"/>
      <c r="E10" s="57"/>
      <c r="F10" s="105"/>
      <c r="G10" s="119"/>
      <c r="H10" s="106"/>
      <c r="I10" s="107"/>
      <c r="J10" s="108"/>
      <c r="K10" s="70"/>
    </row>
    <row r="11" spans="1:11" ht="15.75" x14ac:dyDescent="0.25">
      <c r="A11" s="14"/>
      <c r="B11" s="5"/>
      <c r="C11" s="92"/>
      <c r="D11" s="60" t="s">
        <v>45</v>
      </c>
      <c r="E11" s="60" t="s">
        <v>47</v>
      </c>
      <c r="F11" s="104" t="s">
        <v>41</v>
      </c>
      <c r="G11" s="120" t="s">
        <v>60</v>
      </c>
      <c r="H11" s="1151" t="s">
        <v>34</v>
      </c>
      <c r="I11" s="1152"/>
      <c r="J11" s="109"/>
      <c r="K11" s="71" t="s">
        <v>54</v>
      </c>
    </row>
    <row r="12" spans="1:11" ht="15.75" x14ac:dyDescent="0.25">
      <c r="A12" s="14"/>
      <c r="B12" s="7"/>
      <c r="C12" s="93" t="s">
        <v>52</v>
      </c>
      <c r="D12" s="60" t="s">
        <v>46</v>
      </c>
      <c r="E12" s="60" t="s">
        <v>46</v>
      </c>
      <c r="F12" s="125" t="s">
        <v>26</v>
      </c>
      <c r="G12" s="126" t="s">
        <v>26</v>
      </c>
      <c r="H12" s="141" t="s">
        <v>57</v>
      </c>
      <c r="I12" s="142"/>
      <c r="J12" s="110" t="s">
        <v>35</v>
      </c>
      <c r="K12" s="71" t="s">
        <v>44</v>
      </c>
    </row>
    <row r="13" spans="1:11" ht="16.5" thickBot="1" x14ac:dyDescent="0.3">
      <c r="A13" s="15" t="s">
        <v>0</v>
      </c>
      <c r="B13" s="24" t="s">
        <v>40</v>
      </c>
      <c r="C13" s="94" t="s">
        <v>58</v>
      </c>
      <c r="D13" s="65" t="s">
        <v>74</v>
      </c>
      <c r="E13" s="252" t="s">
        <v>43</v>
      </c>
      <c r="F13" s="101" t="s">
        <v>61</v>
      </c>
      <c r="G13" s="140"/>
      <c r="H13" s="143" t="s">
        <v>49</v>
      </c>
      <c r="I13" s="144" t="s">
        <v>49</v>
      </c>
      <c r="J13" s="102" t="s">
        <v>36</v>
      </c>
      <c r="K13" s="72" t="s">
        <v>27</v>
      </c>
    </row>
    <row r="14" spans="1:11" ht="15.75" x14ac:dyDescent="0.25">
      <c r="A14" s="3" t="s">
        <v>17</v>
      </c>
      <c r="B14" s="25"/>
      <c r="C14" s="61"/>
      <c r="D14" s="27"/>
      <c r="E14" s="45"/>
      <c r="F14" s="111"/>
      <c r="G14" s="121"/>
      <c r="H14" s="136"/>
      <c r="I14" s="137"/>
      <c r="J14" s="131"/>
      <c r="K14" s="73"/>
    </row>
    <row r="15" spans="1:11" ht="15.75" x14ac:dyDescent="0.25">
      <c r="A15" s="16" t="s">
        <v>1</v>
      </c>
      <c r="B15" s="85">
        <v>1749072</v>
      </c>
      <c r="C15" s="95"/>
      <c r="D15" s="28">
        <v>1865630</v>
      </c>
      <c r="E15" s="28">
        <v>2088194</v>
      </c>
      <c r="F15" s="112">
        <v>9510</v>
      </c>
      <c r="G15" s="122">
        <v>13065</v>
      </c>
      <c r="H15" s="83">
        <v>2334</v>
      </c>
      <c r="I15" s="58">
        <v>21056</v>
      </c>
      <c r="J15" s="132">
        <v>35137</v>
      </c>
      <c r="K15" s="74">
        <f>SUM(F15:J15)</f>
        <v>81102</v>
      </c>
    </row>
    <row r="16" spans="1:11" ht="15.75" x14ac:dyDescent="0.25">
      <c r="A16" s="16" t="s">
        <v>2</v>
      </c>
      <c r="B16" s="85">
        <v>156653</v>
      </c>
      <c r="C16" s="95"/>
      <c r="D16" s="28">
        <v>168225</v>
      </c>
      <c r="E16" s="28">
        <v>194727</v>
      </c>
      <c r="F16" s="112">
        <v>1235</v>
      </c>
      <c r="G16" s="122">
        <v>1041</v>
      </c>
      <c r="H16" s="122" t="e">
        <f>BaseEstimate!H17/$G$40*#REF!</f>
        <v>#REF!</v>
      </c>
      <c r="I16" s="58">
        <v>1668</v>
      </c>
      <c r="J16" s="132">
        <v>3160</v>
      </c>
      <c r="K16" s="74" t="e">
        <f>SUM(F16:J16)</f>
        <v>#REF!</v>
      </c>
    </row>
    <row r="17" spans="1:11" ht="15.75" x14ac:dyDescent="0.25">
      <c r="A17" s="16" t="s">
        <v>3</v>
      </c>
      <c r="B17" s="85">
        <v>74131</v>
      </c>
      <c r="C17" s="95"/>
      <c r="D17" s="28">
        <v>79873</v>
      </c>
      <c r="E17" s="28">
        <v>130671</v>
      </c>
      <c r="F17" s="112">
        <v>439</v>
      </c>
      <c r="G17" s="122">
        <v>605</v>
      </c>
      <c r="H17" s="83">
        <v>47</v>
      </c>
      <c r="I17" s="58">
        <v>842</v>
      </c>
      <c r="J17" s="132">
        <v>1484</v>
      </c>
      <c r="K17" s="74">
        <f>SUM(F17:J17)</f>
        <v>3417</v>
      </c>
    </row>
    <row r="18" spans="1:11" ht="15.75" x14ac:dyDescent="0.25">
      <c r="A18" s="16" t="s">
        <v>4</v>
      </c>
      <c r="B18" s="85">
        <v>185154</v>
      </c>
      <c r="C18" s="95"/>
      <c r="D18" s="28">
        <v>196405</v>
      </c>
      <c r="E18" s="28">
        <v>236333</v>
      </c>
      <c r="F18" s="112">
        <v>273</v>
      </c>
      <c r="G18" s="122">
        <v>2312</v>
      </c>
      <c r="H18" s="83">
        <v>34</v>
      </c>
      <c r="I18" s="58">
        <v>2824</v>
      </c>
      <c r="J18" s="132">
        <v>3712</v>
      </c>
      <c r="K18" s="74">
        <f>SUM(F18:J18)</f>
        <v>9155</v>
      </c>
    </row>
    <row r="19" spans="1:11" ht="15.75" x14ac:dyDescent="0.25">
      <c r="A19" s="16" t="s">
        <v>5</v>
      </c>
      <c r="B19" s="85">
        <v>801258</v>
      </c>
      <c r="C19" s="95"/>
      <c r="D19" s="28">
        <v>878575</v>
      </c>
      <c r="E19" s="28">
        <v>1104619</v>
      </c>
      <c r="F19" s="112">
        <v>1</v>
      </c>
      <c r="G19" s="122">
        <v>0</v>
      </c>
      <c r="H19" s="83">
        <v>0</v>
      </c>
      <c r="I19" s="58">
        <v>35000</v>
      </c>
      <c r="J19" s="132">
        <v>17054</v>
      </c>
      <c r="K19" s="74">
        <f>SUM(F19:J19)</f>
        <v>52055</v>
      </c>
    </row>
    <row r="20" spans="1:11" ht="15.75" x14ac:dyDescent="0.25">
      <c r="A20" s="17" t="s">
        <v>21</v>
      </c>
      <c r="B20" s="86">
        <f>SUM(B15:B19)</f>
        <v>2966268</v>
      </c>
      <c r="C20" s="96">
        <f>SUM(C15:C19)</f>
        <v>0</v>
      </c>
      <c r="D20" s="29">
        <f>SUM(D15:D19)</f>
        <v>3188708</v>
      </c>
      <c r="E20" s="29">
        <f>SUM(E15:E19)-1</f>
        <v>3754543</v>
      </c>
      <c r="F20" s="113">
        <f t="shared" ref="F20:K20" si="0">SUM(F15:F19)</f>
        <v>11458</v>
      </c>
      <c r="G20" s="123">
        <f t="shared" si="0"/>
        <v>17023</v>
      </c>
      <c r="H20" s="62" t="e">
        <f t="shared" si="0"/>
        <v>#REF!</v>
      </c>
      <c r="I20" s="43">
        <f t="shared" si="0"/>
        <v>61390</v>
      </c>
      <c r="J20" s="133">
        <f t="shared" si="0"/>
        <v>60547</v>
      </c>
      <c r="K20" s="75" t="e">
        <f t="shared" si="0"/>
        <v>#REF!</v>
      </c>
    </row>
    <row r="21" spans="1:11" ht="15.75" x14ac:dyDescent="0.25">
      <c r="A21" s="16" t="s">
        <v>6</v>
      </c>
      <c r="B21" s="85">
        <v>66282</v>
      </c>
      <c r="C21" s="95"/>
      <c r="D21" s="28">
        <v>71194</v>
      </c>
      <c r="E21" s="28">
        <v>82271</v>
      </c>
      <c r="F21" s="112">
        <v>528</v>
      </c>
      <c r="G21" s="122">
        <v>453</v>
      </c>
      <c r="H21" s="83">
        <v>25</v>
      </c>
      <c r="I21" s="58">
        <v>620</v>
      </c>
      <c r="J21" s="132">
        <v>1327</v>
      </c>
      <c r="K21" s="74">
        <f>SUM(F21:J21)</f>
        <v>2953</v>
      </c>
    </row>
    <row r="22" spans="1:11" ht="15.75" x14ac:dyDescent="0.25">
      <c r="A22" s="16" t="s">
        <v>7</v>
      </c>
      <c r="B22" s="85">
        <v>16552</v>
      </c>
      <c r="C22" s="95"/>
      <c r="D22" s="28">
        <v>17677</v>
      </c>
      <c r="E22" s="28">
        <v>27280</v>
      </c>
      <c r="F22" s="112">
        <v>59</v>
      </c>
      <c r="G22" s="122">
        <v>175</v>
      </c>
      <c r="H22" s="83">
        <v>3</v>
      </c>
      <c r="I22" s="58">
        <v>237</v>
      </c>
      <c r="J22" s="132">
        <v>332</v>
      </c>
      <c r="K22" s="74">
        <f>SUM(F22:J22)</f>
        <v>806</v>
      </c>
    </row>
    <row r="23" spans="1:11" ht="15.75" x14ac:dyDescent="0.25">
      <c r="A23" s="16" t="s">
        <v>8</v>
      </c>
      <c r="B23" s="85">
        <v>58304</v>
      </c>
      <c r="C23" s="95"/>
      <c r="D23" s="28">
        <v>61661</v>
      </c>
      <c r="E23" s="28">
        <v>74379</v>
      </c>
      <c r="F23" s="112">
        <v>12</v>
      </c>
      <c r="G23" s="122">
        <v>842</v>
      </c>
      <c r="H23" s="83">
        <v>9</v>
      </c>
      <c r="I23" s="58">
        <v>913</v>
      </c>
      <c r="J23" s="132">
        <v>1169</v>
      </c>
      <c r="K23" s="74">
        <f>SUM(F23:J23)</f>
        <v>2945</v>
      </c>
    </row>
    <row r="24" spans="1:11" ht="15.75" x14ac:dyDescent="0.25">
      <c r="A24" s="16" t="s">
        <v>9</v>
      </c>
      <c r="B24" s="85">
        <v>1826</v>
      </c>
      <c r="C24" s="95"/>
      <c r="D24" s="28">
        <v>1931</v>
      </c>
      <c r="E24" s="28">
        <v>2015</v>
      </c>
      <c r="F24" s="112">
        <v>0</v>
      </c>
      <c r="G24" s="122">
        <v>27</v>
      </c>
      <c r="H24" s="83">
        <v>0</v>
      </c>
      <c r="I24" s="58">
        <v>29</v>
      </c>
      <c r="J24" s="132">
        <v>37</v>
      </c>
      <c r="K24" s="74">
        <f>SUM(F24:J24)</f>
        <v>93</v>
      </c>
    </row>
    <row r="25" spans="1:11" ht="15.75" x14ac:dyDescent="0.25">
      <c r="A25" s="17" t="s">
        <v>24</v>
      </c>
      <c r="B25" s="86">
        <f>SUM(B21:B24)-1</f>
        <v>142963</v>
      </c>
      <c r="C25" s="96">
        <f>SUM(C21:C24)</f>
        <v>0</v>
      </c>
      <c r="D25" s="29">
        <f>SUM(D21:D24)</f>
        <v>152463</v>
      </c>
      <c r="E25" s="29">
        <f>SUM(E21:E24)</f>
        <v>185945</v>
      </c>
      <c r="F25" s="113">
        <f t="shared" ref="F25:K25" si="1">SUM(F21:F24)</f>
        <v>599</v>
      </c>
      <c r="G25" s="123">
        <f>SUM(G21:G24)</f>
        <v>1497</v>
      </c>
      <c r="H25" s="62">
        <f>SUM(H21:H24)</f>
        <v>37</v>
      </c>
      <c r="I25" s="43">
        <f t="shared" si="1"/>
        <v>1799</v>
      </c>
      <c r="J25" s="133">
        <f>SUM(J21:J24)</f>
        <v>2865</v>
      </c>
      <c r="K25" s="75">
        <f t="shared" si="1"/>
        <v>6797</v>
      </c>
    </row>
    <row r="26" spans="1:11" ht="15.75" x14ac:dyDescent="0.25">
      <c r="A26" s="16" t="s">
        <v>10</v>
      </c>
      <c r="B26" s="85">
        <v>40729</v>
      </c>
      <c r="C26" s="95"/>
      <c r="D26" s="28">
        <v>43049</v>
      </c>
      <c r="E26" s="28">
        <v>48214</v>
      </c>
      <c r="F26" s="112">
        <v>24</v>
      </c>
      <c r="G26" s="122">
        <v>382</v>
      </c>
      <c r="H26" s="83">
        <v>57</v>
      </c>
      <c r="I26" s="58">
        <v>590</v>
      </c>
      <c r="J26" s="132">
        <v>817</v>
      </c>
      <c r="K26" s="74">
        <f t="shared" ref="K26:K31" si="2">SUM(F26:J26)</f>
        <v>1870</v>
      </c>
    </row>
    <row r="27" spans="1:11" ht="15.75" x14ac:dyDescent="0.25">
      <c r="A27" s="16" t="s">
        <v>11</v>
      </c>
      <c r="B27" s="85">
        <v>38467</v>
      </c>
      <c r="C27" s="95"/>
      <c r="D27" s="28">
        <v>40602</v>
      </c>
      <c r="E27" s="28">
        <v>42068</v>
      </c>
      <c r="F27" s="112">
        <v>29</v>
      </c>
      <c r="G27" s="122">
        <v>0</v>
      </c>
      <c r="H27" s="83">
        <v>660</v>
      </c>
      <c r="I27" s="58">
        <v>0</v>
      </c>
      <c r="J27" s="132">
        <v>0</v>
      </c>
      <c r="K27" s="74">
        <f t="shared" si="2"/>
        <v>689</v>
      </c>
    </row>
    <row r="28" spans="1:11" ht="15.75" x14ac:dyDescent="0.25">
      <c r="A28" s="16" t="s">
        <v>12</v>
      </c>
      <c r="B28" s="85">
        <v>2442</v>
      </c>
      <c r="C28" s="95"/>
      <c r="D28" s="28">
        <v>2577</v>
      </c>
      <c r="E28" s="28">
        <v>2680</v>
      </c>
      <c r="F28" s="112">
        <v>0</v>
      </c>
      <c r="G28" s="122">
        <v>0</v>
      </c>
      <c r="H28" s="83">
        <v>91</v>
      </c>
      <c r="I28" s="58">
        <v>0</v>
      </c>
      <c r="J28" s="132">
        <v>0</v>
      </c>
      <c r="K28" s="74">
        <f t="shared" si="2"/>
        <v>91</v>
      </c>
    </row>
    <row r="29" spans="1:11" ht="15.75" x14ac:dyDescent="0.25">
      <c r="A29" s="16" t="s">
        <v>13</v>
      </c>
      <c r="B29" s="85">
        <v>67894</v>
      </c>
      <c r="C29" s="95"/>
      <c r="D29" s="28">
        <v>71845</v>
      </c>
      <c r="E29" s="28">
        <v>73262</v>
      </c>
      <c r="F29" s="112">
        <v>777</v>
      </c>
      <c r="G29" s="122">
        <v>258</v>
      </c>
      <c r="H29" s="83">
        <v>484</v>
      </c>
      <c r="I29" s="58">
        <v>0</v>
      </c>
      <c r="J29" s="132">
        <v>0</v>
      </c>
      <c r="K29" s="74">
        <f>SUM(F29:J29)</f>
        <v>1519</v>
      </c>
    </row>
    <row r="30" spans="1:11" ht="15.75" x14ac:dyDescent="0.25">
      <c r="A30" s="16" t="s">
        <v>30</v>
      </c>
      <c r="B30" s="85">
        <v>5727</v>
      </c>
      <c r="C30" s="95"/>
      <c r="D30" s="28">
        <v>6049</v>
      </c>
      <c r="E30" s="39">
        <v>6213</v>
      </c>
      <c r="F30" s="112">
        <v>27</v>
      </c>
      <c r="G30" s="122">
        <v>0</v>
      </c>
      <c r="H30" s="83">
        <v>22</v>
      </c>
      <c r="I30" s="58">
        <v>0</v>
      </c>
      <c r="J30" s="132" t="e">
        <f>BaseEstimates!J29/BaseEstimates!$J$39*#REF!</f>
        <v>#REF!</v>
      </c>
      <c r="K30" s="74" t="e">
        <f t="shared" si="2"/>
        <v>#REF!</v>
      </c>
    </row>
    <row r="31" spans="1:11" ht="15.75" x14ac:dyDescent="0.25">
      <c r="A31" s="16" t="s">
        <v>14</v>
      </c>
      <c r="B31" s="85">
        <v>447788</v>
      </c>
      <c r="C31" s="95"/>
      <c r="D31" s="28">
        <v>477205</v>
      </c>
      <c r="E31" s="39">
        <v>611205</v>
      </c>
      <c r="F31" s="112" t="e">
        <f>BaseEstimates!D30/BaseEstimates!$D$39*#REF!</f>
        <v>#REF!</v>
      </c>
      <c r="G31" s="122">
        <v>0</v>
      </c>
      <c r="H31" s="83">
        <v>8020</v>
      </c>
      <c r="I31" s="58" t="e">
        <f>BaseEstimates!H30/BaseEstimates!$H$39*#REF!</f>
        <v>#REF!</v>
      </c>
      <c r="J31" s="132" t="e">
        <f>BaseEstimates!J30/BaseEstimates!$J$39*#REF!</f>
        <v>#REF!</v>
      </c>
      <c r="K31" s="74" t="e">
        <f t="shared" si="2"/>
        <v>#REF!</v>
      </c>
    </row>
    <row r="32" spans="1:11" ht="15.75" x14ac:dyDescent="0.25">
      <c r="A32" s="18" t="s">
        <v>22</v>
      </c>
      <c r="B32" s="87">
        <f t="shared" ref="B32:H32" si="3">SUM(B26:B31)</f>
        <v>603047</v>
      </c>
      <c r="C32" s="97">
        <f t="shared" si="3"/>
        <v>0</v>
      </c>
      <c r="D32" s="30">
        <f t="shared" si="3"/>
        <v>641327</v>
      </c>
      <c r="E32" s="40">
        <f t="shared" si="3"/>
        <v>783642</v>
      </c>
      <c r="F32" s="114" t="e">
        <f t="shared" si="3"/>
        <v>#REF!</v>
      </c>
      <c r="G32" s="103">
        <f t="shared" si="3"/>
        <v>640</v>
      </c>
      <c r="H32" s="138">
        <f t="shared" si="3"/>
        <v>9334</v>
      </c>
      <c r="I32" s="139" t="e">
        <f>SUM(I26:I31)</f>
        <v>#REF!</v>
      </c>
      <c r="J32" s="115" t="e">
        <f>SUM(J26:J31)</f>
        <v>#REF!</v>
      </c>
      <c r="K32" s="40" t="e">
        <f>SUM(K26:K31)</f>
        <v>#REF!</v>
      </c>
    </row>
    <row r="33" spans="1:11" ht="15.75" x14ac:dyDescent="0.25">
      <c r="A33" s="19" t="s">
        <v>20</v>
      </c>
      <c r="B33" s="88">
        <f>+B20+B25+B32</f>
        <v>3712278</v>
      </c>
      <c r="C33" s="98">
        <f>+C20+C25+C32</f>
        <v>0</v>
      </c>
      <c r="D33" s="31">
        <f>+D20+D25+D32</f>
        <v>3982498</v>
      </c>
      <c r="E33" s="31">
        <f>+E20+E25+E32</f>
        <v>4724130</v>
      </c>
      <c r="F33" s="116" t="e">
        <f t="shared" ref="F33:K33" si="4">+F20+F25+F32</f>
        <v>#REF!</v>
      </c>
      <c r="G33" s="80">
        <f>+G20+G25+G32</f>
        <v>19160</v>
      </c>
      <c r="H33" s="63" t="e">
        <f>+H20+H25+H32</f>
        <v>#REF!</v>
      </c>
      <c r="I33" s="44" t="e">
        <f t="shared" si="4"/>
        <v>#REF!</v>
      </c>
      <c r="J33" s="134" t="e">
        <f t="shared" si="4"/>
        <v>#REF!</v>
      </c>
      <c r="K33" s="76" t="e">
        <f t="shared" si="4"/>
        <v>#REF!</v>
      </c>
    </row>
    <row r="34" spans="1:11" ht="15.75" x14ac:dyDescent="0.25">
      <c r="A34" s="20" t="s">
        <v>18</v>
      </c>
      <c r="B34" s="85"/>
      <c r="C34" s="95"/>
      <c r="D34" s="28"/>
      <c r="E34" s="39"/>
      <c r="F34" s="117"/>
      <c r="G34" s="124"/>
      <c r="H34" s="78"/>
      <c r="I34" s="42"/>
      <c r="J34" s="132"/>
      <c r="K34" s="74"/>
    </row>
    <row r="35" spans="1:11" ht="15.75" x14ac:dyDescent="0.25">
      <c r="A35" s="16" t="s">
        <v>15</v>
      </c>
      <c r="B35" s="85">
        <v>50919</v>
      </c>
      <c r="C35" s="95"/>
      <c r="D35" s="28">
        <v>53721</v>
      </c>
      <c r="E35" s="39">
        <v>61587</v>
      </c>
      <c r="F35" s="112" t="e">
        <f>BaseEstimates!D34/BaseEstimates!$D$39*#REF!</f>
        <v>#REF!</v>
      </c>
      <c r="G35" s="122">
        <f>BaseEstimates!E34/BaseEstimates!$E$39*$G$46</f>
        <v>0</v>
      </c>
      <c r="H35" s="83">
        <v>905</v>
      </c>
      <c r="I35" s="58" t="e">
        <f>BaseEstimates!H34/BaseEstimates!$H$39*#REF!</f>
        <v>#REF!</v>
      </c>
      <c r="J35" s="132">
        <v>1054</v>
      </c>
      <c r="K35" s="74" t="e">
        <f>SUM(F35:J35)</f>
        <v>#REF!</v>
      </c>
    </row>
    <row r="36" spans="1:11" ht="15.75" x14ac:dyDescent="0.25">
      <c r="A36" s="16" t="s">
        <v>31</v>
      </c>
      <c r="B36" s="85">
        <v>75431</v>
      </c>
      <c r="C36" s="95"/>
      <c r="D36" s="28">
        <v>79582</v>
      </c>
      <c r="E36" s="39">
        <v>98388</v>
      </c>
      <c r="F36" s="112" t="e">
        <f>BaseEstimates!D35/BaseEstimates!$D$39*#REF!</f>
        <v>#REF!</v>
      </c>
      <c r="G36" s="122">
        <f>BaseEstimates!E35/BaseEstimates!$E$39*$G$46</f>
        <v>0</v>
      </c>
      <c r="H36" s="83">
        <v>978</v>
      </c>
      <c r="I36" s="58">
        <v>978</v>
      </c>
      <c r="J36" s="132">
        <v>1517</v>
      </c>
      <c r="K36" s="74" t="e">
        <f>SUM(F36:J36)</f>
        <v>#REF!</v>
      </c>
    </row>
    <row r="37" spans="1:11" ht="15.75" x14ac:dyDescent="0.25">
      <c r="A37" s="16" t="s">
        <v>32</v>
      </c>
      <c r="B37" s="85">
        <v>77238</v>
      </c>
      <c r="C37" s="95"/>
      <c r="D37" s="28">
        <v>85048</v>
      </c>
      <c r="E37" s="39">
        <v>173559</v>
      </c>
      <c r="F37" s="112" t="e">
        <f>BaseEstimates!D36/BaseEstimates!$D$39*#REF!</f>
        <v>#REF!</v>
      </c>
      <c r="G37" s="122">
        <f>BaseEstimates!E36/BaseEstimates!$E$39*$G$46</f>
        <v>0</v>
      </c>
      <c r="H37" s="83">
        <v>1303</v>
      </c>
      <c r="I37" s="58">
        <v>0</v>
      </c>
      <c r="J37" s="132">
        <v>0</v>
      </c>
      <c r="K37" s="74" t="e">
        <f>SUM(F37:J37)</f>
        <v>#REF!</v>
      </c>
    </row>
    <row r="38" spans="1:11" ht="15.75" x14ac:dyDescent="0.25">
      <c r="A38" s="16" t="s">
        <v>33</v>
      </c>
      <c r="B38" s="85">
        <v>193578</v>
      </c>
      <c r="C38" s="95"/>
      <c r="D38" s="28">
        <v>207206</v>
      </c>
      <c r="E38" s="39">
        <v>216490</v>
      </c>
      <c r="F38" s="112">
        <v>1952</v>
      </c>
      <c r="G38" s="122">
        <v>940</v>
      </c>
      <c r="H38" s="83">
        <v>1260</v>
      </c>
      <c r="I38" s="58">
        <v>921</v>
      </c>
      <c r="J38" s="132">
        <v>3883</v>
      </c>
      <c r="K38" s="74">
        <f>SUM(F38:J38)</f>
        <v>8956</v>
      </c>
    </row>
    <row r="39" spans="1:11" ht="15.75" x14ac:dyDescent="0.25">
      <c r="A39" s="16" t="s">
        <v>16</v>
      </c>
      <c r="B39" s="85">
        <v>21404</v>
      </c>
      <c r="C39" s="95"/>
      <c r="D39" s="28">
        <v>22582</v>
      </c>
      <c r="E39" s="39">
        <v>27519</v>
      </c>
      <c r="F39" s="112" t="e">
        <f>BaseEstimates!D38/BaseEstimates!$D$39*#REF!</f>
        <v>#REF!</v>
      </c>
      <c r="G39" s="122">
        <f>BaseEstimates!E38/BaseEstimates!$E$39*$G$46</f>
        <v>0</v>
      </c>
      <c r="H39" s="83">
        <v>4</v>
      </c>
      <c r="I39" s="58">
        <v>799</v>
      </c>
      <c r="J39" s="132">
        <v>429</v>
      </c>
      <c r="K39" s="74" t="e">
        <f>SUM(F39:J39)</f>
        <v>#REF!</v>
      </c>
    </row>
    <row r="40" spans="1:11" ht="15.75" x14ac:dyDescent="0.25">
      <c r="A40" s="19" t="s">
        <v>19</v>
      </c>
      <c r="B40" s="89">
        <f>SUM(B35:B39)-1</f>
        <v>418569</v>
      </c>
      <c r="C40" s="99">
        <f>SUM(C35:C39)</f>
        <v>0</v>
      </c>
      <c r="D40" s="32">
        <f>SUM(D35:D39)</f>
        <v>448139</v>
      </c>
      <c r="E40" s="41">
        <f>SUM(E35:E39)-1</f>
        <v>577542</v>
      </c>
      <c r="F40" s="116" t="e">
        <f t="shared" ref="F40:K40" si="5">SUM(F35:F39)</f>
        <v>#REF!</v>
      </c>
      <c r="G40" s="80">
        <f t="shared" si="5"/>
        <v>940</v>
      </c>
      <c r="H40" s="63">
        <f t="shared" si="5"/>
        <v>4450</v>
      </c>
      <c r="I40" s="44" t="e">
        <f t="shared" si="5"/>
        <v>#REF!</v>
      </c>
      <c r="J40" s="134">
        <f t="shared" si="5"/>
        <v>6883</v>
      </c>
      <c r="K40" s="76" t="e">
        <f t="shared" si="5"/>
        <v>#REF!</v>
      </c>
    </row>
    <row r="41" spans="1:11" ht="16.5" thickBot="1" x14ac:dyDescent="0.3">
      <c r="A41" s="21" t="s">
        <v>23</v>
      </c>
      <c r="B41" s="90">
        <f>+B33+B40</f>
        <v>4130847</v>
      </c>
      <c r="C41" s="100">
        <f>+C33+C40</f>
        <v>0</v>
      </c>
      <c r="D41" s="33">
        <f>+D40+D33</f>
        <v>4430637</v>
      </c>
      <c r="E41" s="33">
        <f>+E40+E33</f>
        <v>5301672</v>
      </c>
      <c r="F41" s="118" t="e">
        <f>+F40+F33</f>
        <v>#REF!</v>
      </c>
      <c r="G41" s="82">
        <f>+G33+G40</f>
        <v>20100</v>
      </c>
      <c r="H41" s="64" t="e">
        <f>H33+H40</f>
        <v>#REF!</v>
      </c>
      <c r="I41" s="84" t="e">
        <f>+I33+I40</f>
        <v>#REF!</v>
      </c>
      <c r="J41" s="135" t="e">
        <f>+J33+J40</f>
        <v>#REF!</v>
      </c>
      <c r="K41" s="77" t="e">
        <f>+K33+K40</f>
        <v>#REF!</v>
      </c>
    </row>
  </sheetData>
  <customSheetViews>
    <customSheetView guid="{A9887A3C-DBFC-4155-B59B-2AC88E02797A}" fitToPage="1" state="hidden">
      <selection activeCell="F13" sqref="F13"/>
      <pageMargins left="0.7" right="0.7" top="0.75" bottom="0.75" header="0.3" footer="0.3"/>
      <pageSetup scale="89" orientation="portrait" r:id="rId1"/>
    </customSheetView>
  </customSheetViews>
  <mergeCells count="4">
    <mergeCell ref="F8:K8"/>
    <mergeCell ref="B9:C9"/>
    <mergeCell ref="F9:J9"/>
    <mergeCell ref="H11:I11"/>
  </mergeCells>
  <pageMargins left="0.7" right="0.7" top="0.75" bottom="0.75" header="0.3" footer="0.3"/>
  <pageSetup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4"/>
  <sheetViews>
    <sheetView topLeftCell="A5" workbookViewId="0">
      <selection activeCell="N26" sqref="N26"/>
    </sheetView>
  </sheetViews>
  <sheetFormatPr defaultRowHeight="12.75" x14ac:dyDescent="0.2"/>
  <cols>
    <col min="1" max="1" width="26.140625" customWidth="1"/>
    <col min="2" max="2" width="10.42578125" bestFit="1" customWidth="1"/>
    <col min="3" max="3" width="9.85546875" bestFit="1" customWidth="1"/>
    <col min="4" max="5" width="9.85546875" customWidth="1"/>
    <col min="6" max="6" width="9.85546875" hidden="1" customWidth="1"/>
    <col min="7" max="7" width="8" bestFit="1" customWidth="1"/>
    <col min="8" max="9" width="7.28515625" bestFit="1" customWidth="1"/>
    <col min="10" max="10" width="9.42578125" bestFit="1" customWidth="1"/>
    <col min="11" max="11" width="9.7109375" bestFit="1" customWidth="1"/>
  </cols>
  <sheetData>
    <row r="1" spans="1:11" ht="18.75" x14ac:dyDescent="0.3">
      <c r="A1" s="1034" t="s">
        <v>25</v>
      </c>
      <c r="B1" s="1035"/>
      <c r="C1" s="1035"/>
      <c r="D1" s="1035"/>
      <c r="E1" s="1035"/>
      <c r="F1" s="1035"/>
      <c r="G1" s="1035"/>
      <c r="H1" s="1035"/>
      <c r="I1" s="1035"/>
      <c r="J1" s="1035"/>
      <c r="K1" s="1035"/>
    </row>
    <row r="2" spans="1:11" ht="18.75" x14ac:dyDescent="0.3">
      <c r="A2" s="1034" t="s">
        <v>62</v>
      </c>
      <c r="B2" s="1035"/>
      <c r="C2" s="1035"/>
      <c r="D2" s="1035"/>
      <c r="E2" s="1035"/>
      <c r="F2" s="1035"/>
      <c r="G2" s="1035"/>
      <c r="H2" s="1035"/>
      <c r="I2" s="1035"/>
      <c r="J2" s="1035"/>
      <c r="K2" s="1035"/>
    </row>
    <row r="3" spans="1:11" ht="18.75" x14ac:dyDescent="0.3">
      <c r="A3" s="1034" t="s">
        <v>63</v>
      </c>
      <c r="B3" s="1034"/>
      <c r="C3" s="1034"/>
      <c r="D3" s="1034"/>
      <c r="E3" s="1034"/>
      <c r="F3" s="1034"/>
      <c r="G3" s="1034"/>
      <c r="H3" s="1034"/>
      <c r="I3" s="1034"/>
      <c r="J3" s="1034"/>
      <c r="K3" s="1034"/>
    </row>
    <row r="4" spans="1:11" ht="12.95" customHeight="1" x14ac:dyDescent="0.2">
      <c r="A4" s="1036" t="s">
        <v>39</v>
      </c>
      <c r="B4" s="1036"/>
      <c r="C4" s="1036"/>
      <c r="D4" s="1036"/>
      <c r="E4" s="1036"/>
      <c r="F4" s="1036"/>
      <c r="G4" s="1036"/>
      <c r="H4" s="1036"/>
      <c r="I4" s="1036"/>
      <c r="J4" s="1036"/>
      <c r="K4" s="1036"/>
    </row>
    <row r="5" spans="1:11" ht="15" customHeight="1" x14ac:dyDescent="0.3">
      <c r="A5" s="1034"/>
      <c r="B5" s="1034"/>
      <c r="C5" s="1034"/>
      <c r="D5" s="1034"/>
      <c r="E5" s="1034"/>
      <c r="F5" s="1034"/>
      <c r="G5" s="1034"/>
      <c r="H5" s="1034"/>
      <c r="I5" s="1034"/>
      <c r="J5" s="1034"/>
      <c r="K5" s="1034"/>
    </row>
    <row r="6" spans="1:11" ht="15.75" hidden="1" customHeight="1" x14ac:dyDescent="0.2">
      <c r="G6" s="145">
        <v>1</v>
      </c>
      <c r="H6" s="146"/>
      <c r="I6" s="146"/>
      <c r="J6" s="145">
        <v>1</v>
      </c>
    </row>
    <row r="7" spans="1:11" ht="15" customHeight="1" x14ac:dyDescent="0.2">
      <c r="A7" s="147"/>
      <c r="B7" s="148"/>
      <c r="C7" s="148"/>
      <c r="D7" s="1029" t="s">
        <v>72</v>
      </c>
      <c r="E7" s="1029"/>
      <c r="F7" s="1029"/>
      <c r="G7" s="1029"/>
      <c r="H7" s="1029"/>
      <c r="I7" s="1029"/>
      <c r="J7" s="1029"/>
      <c r="K7" s="1029"/>
    </row>
    <row r="8" spans="1:11" ht="15.75" customHeight="1" x14ac:dyDescent="0.3">
      <c r="A8" s="13"/>
      <c r="B8" s="149"/>
      <c r="C8" s="150"/>
      <c r="D8" s="1030" t="s">
        <v>73</v>
      </c>
      <c r="E8" s="1031"/>
      <c r="F8" s="1031"/>
      <c r="G8" s="1031"/>
      <c r="H8" s="1031"/>
      <c r="I8" s="1031"/>
      <c r="J8" s="1031"/>
      <c r="K8" s="1032"/>
    </row>
    <row r="9" spans="1:11" ht="15.75" customHeight="1" x14ac:dyDescent="0.25">
      <c r="A9" s="14"/>
      <c r="B9" s="151" t="s">
        <v>64</v>
      </c>
      <c r="C9" s="152" t="s">
        <v>42</v>
      </c>
      <c r="D9" s="1027" t="s">
        <v>69</v>
      </c>
      <c r="E9" s="1028"/>
      <c r="F9" s="214"/>
      <c r="G9" s="1033" t="s">
        <v>34</v>
      </c>
      <c r="H9" s="1033"/>
      <c r="I9" s="210"/>
      <c r="J9" s="153" t="s">
        <v>35</v>
      </c>
      <c r="K9" s="154"/>
    </row>
    <row r="10" spans="1:11" ht="16.5" customHeight="1" x14ac:dyDescent="0.25">
      <c r="A10" s="14"/>
      <c r="B10" s="211"/>
      <c r="C10" s="155"/>
      <c r="D10" s="208" t="s">
        <v>41</v>
      </c>
      <c r="E10" s="215" t="s">
        <v>70</v>
      </c>
      <c r="F10" s="212" t="s">
        <v>68</v>
      </c>
      <c r="G10" s="156" t="s">
        <v>65</v>
      </c>
      <c r="H10" s="157" t="s">
        <v>66</v>
      </c>
      <c r="I10" s="158" t="s">
        <v>34</v>
      </c>
      <c r="J10" s="159" t="s">
        <v>36</v>
      </c>
      <c r="K10" s="160" t="s">
        <v>67</v>
      </c>
    </row>
    <row r="11" spans="1:11" ht="18" customHeight="1" thickBot="1" x14ac:dyDescent="0.3">
      <c r="A11" s="15" t="s">
        <v>0</v>
      </c>
      <c r="B11" s="161" t="s">
        <v>40</v>
      </c>
      <c r="C11" s="162" t="s">
        <v>40</v>
      </c>
      <c r="D11" s="209" t="s">
        <v>61</v>
      </c>
      <c r="E11" s="216" t="s">
        <v>71</v>
      </c>
      <c r="F11" s="213" t="s">
        <v>26</v>
      </c>
      <c r="G11" s="163">
        <v>1.6E-2</v>
      </c>
      <c r="H11" s="164">
        <v>3.5999999999999997E-2</v>
      </c>
      <c r="I11" s="165" t="s">
        <v>68</v>
      </c>
      <c r="J11" s="166">
        <v>1.2999999999999999E-2</v>
      </c>
      <c r="K11" s="167" t="s">
        <v>27</v>
      </c>
    </row>
    <row r="12" spans="1:11" ht="15.75" x14ac:dyDescent="0.25">
      <c r="A12" s="3" t="s">
        <v>17</v>
      </c>
      <c r="B12" s="168"/>
      <c r="C12" s="61"/>
      <c r="D12" s="169"/>
      <c r="E12" s="131"/>
      <c r="F12" s="121"/>
      <c r="G12" s="121"/>
      <c r="H12" s="170"/>
      <c r="I12" s="131"/>
      <c r="J12" s="171"/>
      <c r="K12" s="131"/>
    </row>
    <row r="13" spans="1:11" ht="15.75" x14ac:dyDescent="0.25">
      <c r="A13" s="16" t="s">
        <v>1</v>
      </c>
      <c r="B13" s="172">
        <v>1762865</v>
      </c>
      <c r="C13" s="95">
        <v>1810966</v>
      </c>
      <c r="D13" s="173">
        <f>F13*42%</f>
        <v>4882.92</v>
      </c>
      <c r="E13" s="217">
        <f>F13-D13</f>
        <v>6743.08</v>
      </c>
      <c r="F13" s="207">
        <v>11626</v>
      </c>
      <c r="G13" s="174">
        <v>2447</v>
      </c>
      <c r="H13" s="175">
        <v>23212</v>
      </c>
      <c r="I13" s="176">
        <f>G13+H13</f>
        <v>25659</v>
      </c>
      <c r="J13" s="177">
        <v>25531</v>
      </c>
      <c r="K13" s="132">
        <f>SUM(D13:J13)</f>
        <v>100101</v>
      </c>
    </row>
    <row r="14" spans="1:11" ht="15.75" customHeight="1" x14ac:dyDescent="0.25">
      <c r="A14" s="16" t="s">
        <v>2</v>
      </c>
      <c r="B14" s="172">
        <v>152634</v>
      </c>
      <c r="C14" s="172">
        <v>159440</v>
      </c>
      <c r="D14" s="173">
        <f>F14*42%</f>
        <v>495.59999999999997</v>
      </c>
      <c r="E14" s="217">
        <f>F14-D14</f>
        <v>684.40000000000009</v>
      </c>
      <c r="F14" s="207">
        <v>1180</v>
      </c>
      <c r="G14" s="174">
        <v>90</v>
      </c>
      <c r="H14" s="175">
        <v>1703</v>
      </c>
      <c r="I14" s="176">
        <f>G14+H14</f>
        <v>1793</v>
      </c>
      <c r="J14" s="177">
        <v>2221</v>
      </c>
      <c r="K14" s="132">
        <f>SUM(D14:J14)</f>
        <v>8167</v>
      </c>
    </row>
    <row r="15" spans="1:11" ht="15.75" x14ac:dyDescent="0.25">
      <c r="A15" s="16" t="s">
        <v>3</v>
      </c>
      <c r="B15" s="172">
        <v>72786</v>
      </c>
      <c r="C15" s="172">
        <v>75589</v>
      </c>
      <c r="D15" s="173">
        <f>F15*42%</f>
        <v>215.04</v>
      </c>
      <c r="E15" s="217">
        <f>F15-D15</f>
        <v>296.96000000000004</v>
      </c>
      <c r="F15" s="207">
        <v>512</v>
      </c>
      <c r="G15" s="174">
        <v>51</v>
      </c>
      <c r="H15" s="175">
        <v>887</v>
      </c>
      <c r="I15" s="176">
        <f>G15+H15</f>
        <v>938</v>
      </c>
      <c r="J15" s="177">
        <v>1055</v>
      </c>
      <c r="K15" s="132">
        <f>SUM(D15:J15)</f>
        <v>3955</v>
      </c>
    </row>
    <row r="16" spans="1:11" ht="15.75" x14ac:dyDescent="0.25">
      <c r="A16" s="16" t="s">
        <v>4</v>
      </c>
      <c r="B16" s="172">
        <v>194409</v>
      </c>
      <c r="C16" s="172">
        <v>194297</v>
      </c>
      <c r="D16" s="173">
        <f>F16*42%</f>
        <v>561.95999999999992</v>
      </c>
      <c r="E16" s="217">
        <f>F16-D16</f>
        <v>776.04000000000008</v>
      </c>
      <c r="F16" s="207">
        <v>1338</v>
      </c>
      <c r="G16" s="174">
        <v>40</v>
      </c>
      <c r="H16" s="175">
        <v>3022</v>
      </c>
      <c r="I16" s="176">
        <f>G16+H16</f>
        <v>3062</v>
      </c>
      <c r="J16" s="177">
        <v>2752</v>
      </c>
      <c r="K16" s="132">
        <f>SUM(D16:J16)</f>
        <v>11552</v>
      </c>
    </row>
    <row r="17" spans="1:11" ht="15.75" x14ac:dyDescent="0.25">
      <c r="A17" s="16" t="s">
        <v>5</v>
      </c>
      <c r="B17" s="172">
        <v>779927</v>
      </c>
      <c r="C17" s="172">
        <v>843575</v>
      </c>
      <c r="D17" s="173">
        <f>F17*42%</f>
        <v>0</v>
      </c>
      <c r="E17" s="217">
        <f>F17-D17</f>
        <v>0</v>
      </c>
      <c r="F17" s="207">
        <v>0</v>
      </c>
      <c r="G17" s="174">
        <v>0</v>
      </c>
      <c r="H17" s="175">
        <v>33963</v>
      </c>
      <c r="I17" s="176">
        <f>G17+H17</f>
        <v>33963</v>
      </c>
      <c r="J17" s="177">
        <v>12332</v>
      </c>
      <c r="K17" s="132">
        <f>SUM(D17:J17)</f>
        <v>80258</v>
      </c>
    </row>
    <row r="18" spans="1:11" ht="15.75" x14ac:dyDescent="0.25">
      <c r="A18" s="17" t="s">
        <v>21</v>
      </c>
      <c r="B18" s="178">
        <f>SUM(B13:B17)</f>
        <v>2962621</v>
      </c>
      <c r="C18" s="178">
        <f t="shared" ref="C18:I18" si="0">SUM(C13:C17)</f>
        <v>3083867</v>
      </c>
      <c r="D18" s="218">
        <f>SUM(D13:D17)</f>
        <v>6155.52</v>
      </c>
      <c r="E18" s="182">
        <f>SUM(E13:E17)</f>
        <v>8500.48</v>
      </c>
      <c r="F18" s="181">
        <f>SUM(F13:F17)</f>
        <v>14656</v>
      </c>
      <c r="G18" s="179">
        <f t="shared" si="0"/>
        <v>2628</v>
      </c>
      <c r="H18" s="180">
        <f t="shared" si="0"/>
        <v>62787</v>
      </c>
      <c r="I18" s="181">
        <f t="shared" si="0"/>
        <v>65415</v>
      </c>
      <c r="J18" s="182">
        <f>SUM(J13:J17)</f>
        <v>43891</v>
      </c>
      <c r="K18" s="181">
        <f>SUM(K13:K17)</f>
        <v>204033</v>
      </c>
    </row>
    <row r="19" spans="1:11" ht="15.75" x14ac:dyDescent="0.25">
      <c r="A19" s="16" t="s">
        <v>6</v>
      </c>
      <c r="B19" s="172">
        <v>63943</v>
      </c>
      <c r="C19" s="172">
        <v>66632</v>
      </c>
      <c r="D19" s="85">
        <f>F19*42%</f>
        <v>204.12</v>
      </c>
      <c r="E19" s="223">
        <f>F19-D19</f>
        <v>281.88</v>
      </c>
      <c r="F19" s="207">
        <v>486</v>
      </c>
      <c r="G19" s="174">
        <v>32</v>
      </c>
      <c r="H19" s="175">
        <v>671</v>
      </c>
      <c r="I19" s="176">
        <f>G19+H19</f>
        <v>703</v>
      </c>
      <c r="J19" s="177">
        <v>918</v>
      </c>
      <c r="K19" s="132">
        <f>SUM(D19:J19)</f>
        <v>3296</v>
      </c>
    </row>
    <row r="20" spans="1:11" ht="15.75" x14ac:dyDescent="0.25">
      <c r="A20" s="16" t="s">
        <v>7</v>
      </c>
      <c r="B20" s="172">
        <v>16649</v>
      </c>
      <c r="C20" s="172">
        <v>17057</v>
      </c>
      <c r="D20" s="85">
        <f>F20*42%</f>
        <v>48.3</v>
      </c>
      <c r="E20" s="223">
        <f>F20-D20</f>
        <v>66.7</v>
      </c>
      <c r="F20" s="207">
        <v>115</v>
      </c>
      <c r="G20" s="174">
        <v>4</v>
      </c>
      <c r="H20" s="175">
        <v>240</v>
      </c>
      <c r="I20" s="176">
        <f>G20+H20</f>
        <v>244</v>
      </c>
      <c r="J20" s="177">
        <v>236</v>
      </c>
      <c r="K20" s="132">
        <f>SUM(D20:J20)</f>
        <v>954</v>
      </c>
    </row>
    <row r="21" spans="1:11" ht="15.75" x14ac:dyDescent="0.25">
      <c r="A21" s="16" t="s">
        <v>8</v>
      </c>
      <c r="B21" s="172">
        <v>61505</v>
      </c>
      <c r="C21" s="172">
        <v>61407</v>
      </c>
      <c r="D21" s="85">
        <f>F21*42%</f>
        <v>188.57999999999998</v>
      </c>
      <c r="E21" s="223">
        <f>F21-D21</f>
        <v>260.42</v>
      </c>
      <c r="F21" s="207">
        <v>449</v>
      </c>
      <c r="G21" s="174">
        <v>4</v>
      </c>
      <c r="H21" s="175">
        <v>945</v>
      </c>
      <c r="I21" s="176">
        <f>G21+H21</f>
        <v>949</v>
      </c>
      <c r="J21" s="177">
        <v>855</v>
      </c>
      <c r="K21" s="132">
        <f>SUM(D21:J21)</f>
        <v>3651</v>
      </c>
    </row>
    <row r="22" spans="1:11" ht="15.75" x14ac:dyDescent="0.25">
      <c r="A22" s="16" t="s">
        <v>9</v>
      </c>
      <c r="B22" s="172">
        <v>1930</v>
      </c>
      <c r="C22" s="172">
        <v>1927</v>
      </c>
      <c r="D22" s="85">
        <f>F22*42%</f>
        <v>5.88</v>
      </c>
      <c r="E22" s="223">
        <f>F22-D22</f>
        <v>8.120000000000001</v>
      </c>
      <c r="F22" s="207">
        <v>14</v>
      </c>
      <c r="G22" s="174">
        <f>[1]worksheet!E17*'[2]2013 OMBJ Final'!$E$6</f>
        <v>0</v>
      </c>
      <c r="H22" s="175">
        <v>30</v>
      </c>
      <c r="I22" s="176">
        <f>G22+H22</f>
        <v>30</v>
      </c>
      <c r="J22" s="177">
        <v>27</v>
      </c>
      <c r="K22" s="132">
        <f>SUM(D22:J22)</f>
        <v>115</v>
      </c>
    </row>
    <row r="23" spans="1:11" ht="15.75" x14ac:dyDescent="0.25">
      <c r="A23" s="17" t="s">
        <v>24</v>
      </c>
      <c r="B23" s="178">
        <f t="shared" ref="B23:J23" si="1">SUM(B19:B22)</f>
        <v>144027</v>
      </c>
      <c r="C23" s="178">
        <f t="shared" si="1"/>
        <v>147023</v>
      </c>
      <c r="D23" s="219">
        <f t="shared" si="1"/>
        <v>446.88</v>
      </c>
      <c r="E23" s="183">
        <f t="shared" si="1"/>
        <v>617.12</v>
      </c>
      <c r="F23" s="133">
        <f t="shared" si="1"/>
        <v>1064</v>
      </c>
      <c r="G23" s="184">
        <f t="shared" si="1"/>
        <v>40</v>
      </c>
      <c r="H23" s="185">
        <f t="shared" si="1"/>
        <v>1886</v>
      </c>
      <c r="I23" s="133">
        <f t="shared" si="1"/>
        <v>1926</v>
      </c>
      <c r="J23" s="183">
        <f t="shared" si="1"/>
        <v>2036</v>
      </c>
      <c r="K23" s="133">
        <f>SUM(K19:K22)+1</f>
        <v>8017</v>
      </c>
    </row>
    <row r="24" spans="1:11" ht="15.75" x14ac:dyDescent="0.25">
      <c r="A24" s="16" t="s">
        <v>10</v>
      </c>
      <c r="B24" s="172">
        <v>43053</v>
      </c>
      <c r="C24" s="172">
        <v>42984</v>
      </c>
      <c r="D24" s="85">
        <f t="shared" ref="D24:D29" si="2">F24*42%</f>
        <v>89.46</v>
      </c>
      <c r="E24" s="223">
        <f t="shared" ref="E24:E29" si="3">F24-D24</f>
        <v>123.54</v>
      </c>
      <c r="F24" s="207">
        <v>213</v>
      </c>
      <c r="G24" s="174">
        <v>51</v>
      </c>
      <c r="H24" s="175">
        <v>661</v>
      </c>
      <c r="I24" s="176">
        <f t="shared" ref="I24:I29" si="4">G24+H24</f>
        <v>712</v>
      </c>
      <c r="J24" s="177">
        <v>608</v>
      </c>
      <c r="K24" s="132">
        <f t="shared" ref="K24:K29" si="5">SUM(D24:J24)</f>
        <v>2458</v>
      </c>
    </row>
    <row r="25" spans="1:11" ht="15.75" x14ac:dyDescent="0.25">
      <c r="A25" s="16" t="s">
        <v>11</v>
      </c>
      <c r="B25" s="172">
        <v>40661</v>
      </c>
      <c r="C25" s="172">
        <v>40596</v>
      </c>
      <c r="D25" s="85">
        <f t="shared" si="2"/>
        <v>5.04</v>
      </c>
      <c r="E25" s="223">
        <f t="shared" si="3"/>
        <v>6.96</v>
      </c>
      <c r="F25" s="207">
        <v>12</v>
      </c>
      <c r="G25" s="174">
        <v>638</v>
      </c>
      <c r="H25" s="175">
        <v>4</v>
      </c>
      <c r="I25" s="176">
        <f t="shared" si="4"/>
        <v>642</v>
      </c>
      <c r="J25" s="177">
        <v>0</v>
      </c>
      <c r="K25" s="132">
        <f t="shared" si="5"/>
        <v>1308</v>
      </c>
    </row>
    <row r="26" spans="1:11" ht="15.75" x14ac:dyDescent="0.25">
      <c r="A26" s="16" t="s">
        <v>12</v>
      </c>
      <c r="B26" s="172">
        <v>2581</v>
      </c>
      <c r="C26" s="172">
        <v>2577</v>
      </c>
      <c r="D26" s="85">
        <f t="shared" si="2"/>
        <v>0</v>
      </c>
      <c r="E26" s="223">
        <f t="shared" si="3"/>
        <v>0</v>
      </c>
      <c r="F26" s="207">
        <v>0</v>
      </c>
      <c r="G26" s="174">
        <v>0</v>
      </c>
      <c r="H26" s="175">
        <v>98</v>
      </c>
      <c r="I26" s="176">
        <f t="shared" si="4"/>
        <v>98</v>
      </c>
      <c r="J26" s="177">
        <v>0</v>
      </c>
      <c r="K26" s="132">
        <f t="shared" si="5"/>
        <v>196</v>
      </c>
    </row>
    <row r="27" spans="1:11" ht="15.75" x14ac:dyDescent="0.25">
      <c r="A27" s="16" t="s">
        <v>13</v>
      </c>
      <c r="B27" s="172">
        <v>68583</v>
      </c>
      <c r="C27" s="172">
        <v>71653</v>
      </c>
      <c r="D27" s="85">
        <f t="shared" si="2"/>
        <v>216.72</v>
      </c>
      <c r="E27" s="223">
        <f t="shared" si="3"/>
        <v>299.27999999999997</v>
      </c>
      <c r="F27" s="207">
        <v>516</v>
      </c>
      <c r="G27" s="174">
        <v>446</v>
      </c>
      <c r="H27" s="175">
        <v>0</v>
      </c>
      <c r="I27" s="176">
        <f t="shared" si="4"/>
        <v>446</v>
      </c>
      <c r="J27" s="177">
        <v>0</v>
      </c>
      <c r="K27" s="132">
        <f t="shared" si="5"/>
        <v>1924</v>
      </c>
    </row>
    <row r="28" spans="1:11" ht="15.75" x14ac:dyDescent="0.25">
      <c r="A28" s="16" t="s">
        <v>30</v>
      </c>
      <c r="B28" s="172">
        <v>6054</v>
      </c>
      <c r="C28" s="172">
        <v>6044</v>
      </c>
      <c r="D28" s="85">
        <f t="shared" si="2"/>
        <v>5.04</v>
      </c>
      <c r="E28" s="223">
        <f t="shared" si="3"/>
        <v>6.96</v>
      </c>
      <c r="F28" s="207">
        <v>12</v>
      </c>
      <c r="G28" s="174">
        <v>24</v>
      </c>
      <c r="H28" s="175">
        <v>112</v>
      </c>
      <c r="I28" s="176">
        <f t="shared" si="4"/>
        <v>136</v>
      </c>
      <c r="J28" s="177">
        <v>0</v>
      </c>
      <c r="K28" s="132">
        <f t="shared" si="5"/>
        <v>296</v>
      </c>
    </row>
    <row r="29" spans="1:11" ht="15.75" x14ac:dyDescent="0.25">
      <c r="A29" s="16" t="s">
        <v>14</v>
      </c>
      <c r="B29" s="172">
        <v>397693</v>
      </c>
      <c r="C29" s="172">
        <v>471437</v>
      </c>
      <c r="D29" s="85">
        <f t="shared" si="2"/>
        <v>0</v>
      </c>
      <c r="E29" s="223">
        <f t="shared" si="3"/>
        <v>0</v>
      </c>
      <c r="F29" s="207">
        <v>0</v>
      </c>
      <c r="G29" s="174">
        <v>7590</v>
      </c>
      <c r="H29" s="175">
        <v>0</v>
      </c>
      <c r="I29" s="176">
        <f t="shared" si="4"/>
        <v>7590</v>
      </c>
      <c r="J29" s="177">
        <v>0</v>
      </c>
      <c r="K29" s="132">
        <f t="shared" si="5"/>
        <v>15180</v>
      </c>
    </row>
    <row r="30" spans="1:11" ht="15.75" x14ac:dyDescent="0.25">
      <c r="A30" s="18" t="s">
        <v>22</v>
      </c>
      <c r="B30" s="186">
        <f t="shared" ref="B30:K30" si="6">SUM(B24:B29)</f>
        <v>558625</v>
      </c>
      <c r="C30" s="186">
        <f t="shared" si="6"/>
        <v>635291</v>
      </c>
      <c r="D30" s="220">
        <f t="shared" si="6"/>
        <v>316.26000000000005</v>
      </c>
      <c r="E30" s="190">
        <f t="shared" si="6"/>
        <v>436.73999999999995</v>
      </c>
      <c r="F30" s="189">
        <f t="shared" si="6"/>
        <v>753</v>
      </c>
      <c r="G30" s="187">
        <f t="shared" si="6"/>
        <v>8749</v>
      </c>
      <c r="H30" s="188">
        <f t="shared" si="6"/>
        <v>875</v>
      </c>
      <c r="I30" s="189">
        <f t="shared" si="6"/>
        <v>9624</v>
      </c>
      <c r="J30" s="190">
        <f t="shared" si="6"/>
        <v>608</v>
      </c>
      <c r="K30" s="189">
        <f t="shared" si="6"/>
        <v>21362</v>
      </c>
    </row>
    <row r="31" spans="1:11" ht="15.75" x14ac:dyDescent="0.25">
      <c r="A31" s="19" t="s">
        <v>20</v>
      </c>
      <c r="B31" s="191">
        <f>+B18+B23+B30</f>
        <v>3665273</v>
      </c>
      <c r="C31" s="191">
        <f>+C18+C23+C30</f>
        <v>3866181</v>
      </c>
      <c r="D31" s="221">
        <f t="shared" ref="D31:J31" si="7">D18+D23+D30</f>
        <v>6918.6600000000008</v>
      </c>
      <c r="E31" s="194">
        <f t="shared" si="7"/>
        <v>9554.34</v>
      </c>
      <c r="F31" s="134">
        <f t="shared" si="7"/>
        <v>16473</v>
      </c>
      <c r="G31" s="192">
        <f t="shared" si="7"/>
        <v>11417</v>
      </c>
      <c r="H31" s="193">
        <f t="shared" si="7"/>
        <v>65548</v>
      </c>
      <c r="I31" s="134">
        <f t="shared" si="7"/>
        <v>76965</v>
      </c>
      <c r="J31" s="194">
        <f t="shared" si="7"/>
        <v>46535</v>
      </c>
      <c r="K31" s="134">
        <f>+K18+K23+K30+1</f>
        <v>233413</v>
      </c>
    </row>
    <row r="32" spans="1:11" ht="15.75" x14ac:dyDescent="0.25">
      <c r="A32" s="20" t="s">
        <v>18</v>
      </c>
      <c r="B32" s="172"/>
      <c r="C32" s="172"/>
      <c r="D32" s="85"/>
      <c r="E32" s="223"/>
      <c r="F32" s="207"/>
      <c r="G32" s="195"/>
      <c r="H32" s="196"/>
      <c r="I32" s="132"/>
      <c r="J32" s="177"/>
      <c r="K32" s="197"/>
    </row>
    <row r="33" spans="1:11" ht="15.75" x14ac:dyDescent="0.25">
      <c r="A33" s="16" t="s">
        <v>15</v>
      </c>
      <c r="B33" s="172">
        <v>53807</v>
      </c>
      <c r="C33" s="172">
        <v>53721</v>
      </c>
      <c r="D33" s="85">
        <f>F33*42%</f>
        <v>0</v>
      </c>
      <c r="E33" s="223">
        <f>F33-D33</f>
        <v>0</v>
      </c>
      <c r="F33" s="207">
        <v>0</v>
      </c>
      <c r="G33" s="174">
        <v>840</v>
      </c>
      <c r="H33" s="175">
        <v>0</v>
      </c>
      <c r="I33" s="176">
        <f>G33+H33</f>
        <v>840</v>
      </c>
      <c r="J33" s="177">
        <v>742</v>
      </c>
      <c r="K33" s="132">
        <f>SUM(D33:J33)</f>
        <v>2422</v>
      </c>
    </row>
    <row r="34" spans="1:11" ht="15.75" x14ac:dyDescent="0.25">
      <c r="A34" s="16" t="s">
        <v>31</v>
      </c>
      <c r="B34" s="172">
        <v>95665</v>
      </c>
      <c r="C34" s="172">
        <v>79582</v>
      </c>
      <c r="D34" s="85">
        <f>F34*42%</f>
        <v>0</v>
      </c>
      <c r="E34" s="223">
        <f>F34-D34</f>
        <v>0</v>
      </c>
      <c r="F34" s="207">
        <v>0</v>
      </c>
      <c r="G34" s="174">
        <v>1563</v>
      </c>
      <c r="H34" s="175">
        <v>0</v>
      </c>
      <c r="I34" s="176">
        <f>G34+H34</f>
        <v>1563</v>
      </c>
      <c r="J34" s="177">
        <v>1036</v>
      </c>
      <c r="K34" s="132">
        <f>SUM(D34:J34)</f>
        <v>4162</v>
      </c>
    </row>
    <row r="35" spans="1:11" ht="15.75" x14ac:dyDescent="0.25">
      <c r="A35" s="16" t="s">
        <v>32</v>
      </c>
      <c r="B35" s="172">
        <v>39156</v>
      </c>
      <c r="C35" s="172">
        <v>85048</v>
      </c>
      <c r="D35" s="85">
        <f>F35*42%</f>
        <v>0</v>
      </c>
      <c r="E35" s="223">
        <f>F35-D35</f>
        <v>0</v>
      </c>
      <c r="F35" s="207">
        <v>0</v>
      </c>
      <c r="G35" s="174">
        <v>1368</v>
      </c>
      <c r="H35" s="175">
        <v>0</v>
      </c>
      <c r="I35" s="176">
        <f>G35+H35</f>
        <v>1368</v>
      </c>
      <c r="J35" s="177">
        <v>0</v>
      </c>
      <c r="K35" s="132">
        <f>SUM(D35:J35)</f>
        <v>2736</v>
      </c>
    </row>
    <row r="36" spans="1:11" ht="15.75" x14ac:dyDescent="0.25">
      <c r="A36" s="16" t="s">
        <v>33</v>
      </c>
      <c r="B36" s="172">
        <v>192701</v>
      </c>
      <c r="C36" s="172">
        <v>199413</v>
      </c>
      <c r="D36" s="85">
        <f>F36*42%</f>
        <v>641.76</v>
      </c>
      <c r="E36" s="223">
        <f>F36-D36</f>
        <v>886.24</v>
      </c>
      <c r="F36" s="207">
        <v>1528</v>
      </c>
      <c r="G36" s="174">
        <v>1109</v>
      </c>
      <c r="H36" s="175">
        <v>1393</v>
      </c>
      <c r="I36" s="176">
        <f>G36+H36</f>
        <v>2502</v>
      </c>
      <c r="J36" s="177">
        <v>2743</v>
      </c>
      <c r="K36" s="132">
        <f>SUM(D36:J36)</f>
        <v>10803</v>
      </c>
    </row>
    <row r="37" spans="1:11" ht="15.75" x14ac:dyDescent="0.25">
      <c r="A37" s="16" t="s">
        <v>16</v>
      </c>
      <c r="B37" s="172">
        <v>22618</v>
      </c>
      <c r="C37" s="172">
        <v>22582</v>
      </c>
      <c r="D37" s="85">
        <f>F37*42%</f>
        <v>0</v>
      </c>
      <c r="E37" s="223">
        <f>F37-D37</f>
        <v>0</v>
      </c>
      <c r="F37" s="207">
        <v>0</v>
      </c>
      <c r="G37" s="174">
        <v>35</v>
      </c>
      <c r="H37" s="175">
        <v>822</v>
      </c>
      <c r="I37" s="176">
        <f>G37+H37</f>
        <v>857</v>
      </c>
      <c r="J37" s="177">
        <v>321</v>
      </c>
      <c r="K37" s="132">
        <f>SUM(D37:J37)</f>
        <v>2035</v>
      </c>
    </row>
    <row r="38" spans="1:11" ht="15.75" x14ac:dyDescent="0.25">
      <c r="A38" s="19" t="s">
        <v>19</v>
      </c>
      <c r="B38" s="198">
        <f t="shared" ref="B38:K38" si="8">SUM(B33:B37)</f>
        <v>403947</v>
      </c>
      <c r="C38" s="198">
        <f t="shared" si="8"/>
        <v>440346</v>
      </c>
      <c r="D38" s="221">
        <f t="shared" si="8"/>
        <v>641.76</v>
      </c>
      <c r="E38" s="194">
        <f t="shared" si="8"/>
        <v>886.24</v>
      </c>
      <c r="F38" s="134">
        <f t="shared" si="8"/>
        <v>1528</v>
      </c>
      <c r="G38" s="192">
        <f t="shared" si="8"/>
        <v>4915</v>
      </c>
      <c r="H38" s="193">
        <f t="shared" si="8"/>
        <v>2215</v>
      </c>
      <c r="I38" s="134">
        <f t="shared" si="8"/>
        <v>7130</v>
      </c>
      <c r="J38" s="194">
        <f t="shared" si="8"/>
        <v>4842</v>
      </c>
      <c r="K38" s="134">
        <f t="shared" si="8"/>
        <v>22158</v>
      </c>
    </row>
    <row r="39" spans="1:11" ht="20.100000000000001" customHeight="1" thickBot="1" x14ac:dyDescent="0.3">
      <c r="A39" s="21" t="s">
        <v>23</v>
      </c>
      <c r="B39" s="199">
        <f>+B38+B31</f>
        <v>4069220</v>
      </c>
      <c r="C39" s="199">
        <f>+C38+C31</f>
        <v>4306527</v>
      </c>
      <c r="D39" s="222">
        <f t="shared" ref="D39:J39" si="9">D31+D38</f>
        <v>7560.420000000001</v>
      </c>
      <c r="E39" s="224">
        <f t="shared" si="9"/>
        <v>10440.58</v>
      </c>
      <c r="F39" s="202">
        <f t="shared" si="9"/>
        <v>18001</v>
      </c>
      <c r="G39" s="200">
        <f t="shared" si="9"/>
        <v>16332</v>
      </c>
      <c r="H39" s="201">
        <f t="shared" si="9"/>
        <v>67763</v>
      </c>
      <c r="I39" s="202">
        <f t="shared" si="9"/>
        <v>84095</v>
      </c>
      <c r="J39" s="203">
        <f t="shared" si="9"/>
        <v>51377</v>
      </c>
      <c r="K39" s="202">
        <f>+K31+K38</f>
        <v>255571</v>
      </c>
    </row>
    <row r="40" spans="1:11" s="9" customFormat="1" ht="17.25" hidden="1" thickTop="1" x14ac:dyDescent="0.3">
      <c r="A40" s="6" t="s">
        <v>37</v>
      </c>
      <c r="B40" s="6"/>
      <c r="C40" s="6"/>
      <c r="D40" s="6"/>
      <c r="E40" s="6"/>
      <c r="F40" s="6"/>
      <c r="G40" s="6"/>
      <c r="H40" s="6"/>
      <c r="I40" s="6"/>
      <c r="J40" s="6"/>
      <c r="K40" s="204"/>
    </row>
    <row r="41" spans="1:11" s="9" customFormat="1" ht="17.25" hidden="1" thickTop="1" x14ac:dyDescent="0.3">
      <c r="A41" s="6" t="s">
        <v>38</v>
      </c>
      <c r="B41" s="6"/>
      <c r="C41" s="6"/>
      <c r="D41" s="6"/>
      <c r="E41" s="6"/>
      <c r="F41" s="6"/>
      <c r="G41" s="6"/>
      <c r="H41" s="6"/>
      <c r="I41" s="6"/>
      <c r="J41" s="6"/>
      <c r="K41" s="205"/>
    </row>
    <row r="42" spans="1:11" s="9" customFormat="1" ht="17.25" thickTop="1" x14ac:dyDescent="0.3">
      <c r="A42" s="6"/>
      <c r="B42" s="6"/>
      <c r="C42" s="6"/>
      <c r="D42" s="6"/>
      <c r="E42" s="6"/>
      <c r="F42" s="6"/>
      <c r="G42" s="6"/>
      <c r="H42" s="6"/>
      <c r="I42" s="6"/>
      <c r="J42" s="6"/>
      <c r="K42" s="206">
        <f>K39/C39</f>
        <v>5.9345036034837352E-2</v>
      </c>
    </row>
    <row r="44" spans="1:11" x14ac:dyDescent="0.2">
      <c r="I44" s="1"/>
    </row>
  </sheetData>
  <customSheetViews>
    <customSheetView guid="{A9887A3C-DBFC-4155-B59B-2AC88E02797A}" hiddenRows="1" hiddenColumns="1" state="hidden" topLeftCell="A5">
      <selection activeCell="N26" sqref="N26"/>
      <pageMargins left="0.7" right="0.7" top="0.75" bottom="0.75" header="0.3" footer="0.3"/>
      <pageSetup orientation="portrait" r:id="rId1"/>
    </customSheetView>
  </customSheetViews>
  <mergeCells count="9">
    <mergeCell ref="D9:E9"/>
    <mergeCell ref="D7:K7"/>
    <mergeCell ref="D8:K8"/>
    <mergeCell ref="G9:H9"/>
    <mergeCell ref="A1:K1"/>
    <mergeCell ref="A2:K2"/>
    <mergeCell ref="A3:K3"/>
    <mergeCell ref="A4:K4"/>
    <mergeCell ref="A5:K5"/>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U75"/>
  <sheetViews>
    <sheetView zoomScale="55" zoomScaleNormal="55" zoomScaleSheetLayoutView="90" zoomScalePageLayoutView="70" workbookViewId="0">
      <pane xSplit="1" ySplit="12" topLeftCell="M19" activePane="bottomRight" state="frozen"/>
      <selection pane="topRight" activeCell="B1" sqref="B1"/>
      <selection pane="bottomLeft" activeCell="A13" sqref="A13"/>
      <selection pane="bottomRight" activeCell="V12" sqref="V12"/>
    </sheetView>
  </sheetViews>
  <sheetFormatPr defaultRowHeight="14.25" x14ac:dyDescent="0.2"/>
  <cols>
    <col min="1" max="1" width="32.85546875" customWidth="1"/>
    <col min="2" max="2" width="13.140625" customWidth="1"/>
    <col min="3" max="3" width="14.140625" customWidth="1"/>
    <col min="4" max="4" width="12.85546875" customWidth="1"/>
    <col min="5" max="5" width="9.7109375" customWidth="1"/>
    <col min="6" max="6" width="9.85546875" customWidth="1"/>
    <col min="7" max="7" width="10" customWidth="1"/>
    <col min="8" max="8" width="9.7109375" customWidth="1"/>
    <col min="9" max="9" width="12" customWidth="1"/>
    <col min="10" max="10" width="13" customWidth="1"/>
    <col min="11" max="11" width="9.7109375" customWidth="1"/>
    <col min="12" max="12" width="10.5703125" customWidth="1"/>
    <col min="13" max="13" width="12.7109375" customWidth="1"/>
    <col min="14" max="14" width="11.28515625" customWidth="1"/>
    <col min="15" max="15" width="12.140625" customWidth="1"/>
    <col min="16" max="16" width="21.28515625" customWidth="1"/>
    <col min="17" max="17" width="17.5703125" customWidth="1"/>
    <col min="18" max="18" width="16.28515625" bestFit="1" customWidth="1"/>
    <col min="19" max="19" width="21.5703125" customWidth="1"/>
    <col min="20" max="20" width="14.7109375" customWidth="1"/>
    <col min="21" max="21" width="17.85546875" customWidth="1"/>
    <col min="22" max="23" width="11.42578125" customWidth="1"/>
    <col min="24" max="24" width="15.85546875" customWidth="1"/>
    <col min="25" max="25" width="15.140625" customWidth="1"/>
    <col min="26" max="26" width="13.7109375" customWidth="1"/>
    <col min="27" max="27" width="21.140625" customWidth="1"/>
    <col min="28" max="28" width="0.28515625" customWidth="1"/>
    <col min="29" max="29" width="15.42578125" style="9" bestFit="1" customWidth="1"/>
    <col min="30" max="30" width="16" bestFit="1" customWidth="1"/>
    <col min="31" max="31" width="1.28515625" customWidth="1"/>
    <col min="32" max="32" width="12.140625" style="9" bestFit="1" customWidth="1"/>
    <col min="33" max="33" width="9.85546875" style="9" customWidth="1"/>
    <col min="34" max="34" width="12.5703125" style="236" customWidth="1"/>
    <col min="35" max="35" width="11.140625" style="236" customWidth="1"/>
    <col min="36" max="36" width="9.140625" style="236" customWidth="1"/>
    <col min="43" max="46" width="0" hidden="1" customWidth="1"/>
    <col min="47" max="47" width="13.42578125" hidden="1" customWidth="1"/>
  </cols>
  <sheetData>
    <row r="1" spans="1:47" ht="18.75" x14ac:dyDescent="0.3">
      <c r="A1" s="1034" t="s">
        <v>25</v>
      </c>
      <c r="B1" s="1034"/>
      <c r="C1" s="1034"/>
      <c r="D1" s="1034"/>
      <c r="E1" s="1034"/>
      <c r="F1" s="1034"/>
      <c r="G1" s="1034"/>
      <c r="H1" s="1034"/>
      <c r="I1" s="1034"/>
      <c r="J1" s="1034"/>
      <c r="K1" s="1034"/>
      <c r="L1" s="1034"/>
      <c r="M1" s="1034"/>
      <c r="N1" s="1034"/>
      <c r="O1" s="1034"/>
      <c r="P1" s="1034"/>
      <c r="Q1" s="1034"/>
      <c r="R1" s="1034"/>
      <c r="S1" s="1034"/>
      <c r="T1" s="1034"/>
      <c r="U1" s="1034"/>
      <c r="V1" s="1034"/>
      <c r="W1" s="1034"/>
      <c r="X1" s="1034"/>
      <c r="Y1" s="1034"/>
      <c r="Z1" s="1034"/>
      <c r="AA1" s="1034"/>
      <c r="AB1" s="1034"/>
      <c r="AC1" s="1034"/>
      <c r="AD1" s="1034"/>
      <c r="AE1" s="1034"/>
      <c r="AF1" s="1034"/>
      <c r="AG1" s="1034"/>
    </row>
    <row r="2" spans="1:47" ht="18.75" x14ac:dyDescent="0.3">
      <c r="A2" s="1042" t="s">
        <v>231</v>
      </c>
      <c r="B2" s="1042"/>
      <c r="C2" s="1042"/>
      <c r="D2" s="1042"/>
      <c r="E2" s="1042"/>
      <c r="F2" s="1042"/>
      <c r="G2" s="1042"/>
      <c r="H2" s="1042"/>
      <c r="I2" s="1042"/>
      <c r="J2" s="1042"/>
      <c r="K2" s="1042"/>
      <c r="L2" s="1042"/>
      <c r="M2" s="1042"/>
      <c r="N2" s="1042"/>
      <c r="O2" s="1042"/>
      <c r="P2" s="1042"/>
      <c r="Q2" s="1042"/>
      <c r="R2" s="1042"/>
      <c r="S2" s="1042"/>
      <c r="T2" s="1042"/>
      <c r="U2" s="1042"/>
      <c r="V2" s="1042"/>
      <c r="W2" s="1042"/>
      <c r="X2" s="1042"/>
      <c r="Y2" s="1042"/>
      <c r="Z2" s="1042"/>
      <c r="AA2" s="1042"/>
      <c r="AB2" s="1042"/>
      <c r="AC2" s="1042"/>
      <c r="AD2" s="1042"/>
      <c r="AE2" s="1042"/>
      <c r="AF2" s="1042"/>
      <c r="AG2" s="1042"/>
    </row>
    <row r="3" spans="1:47" ht="18.75" x14ac:dyDescent="0.3">
      <c r="A3" s="1034" t="s">
        <v>236</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row>
    <row r="4" spans="1:47" ht="15.75" customHeight="1" x14ac:dyDescent="0.2">
      <c r="A4" s="1043" t="s">
        <v>39</v>
      </c>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row>
    <row r="5" spans="1:47" ht="15.75" customHeight="1" thickBot="1" x14ac:dyDescent="0.3">
      <c r="A5" s="674"/>
      <c r="B5" s="674"/>
      <c r="C5" s="674"/>
      <c r="D5" s="674"/>
      <c r="E5" s="381"/>
      <c r="F5" s="381"/>
      <c r="G5" s="381"/>
      <c r="H5" s="381"/>
      <c r="I5" s="381"/>
      <c r="J5" s="381"/>
      <c r="K5" s="381"/>
      <c r="L5" s="381"/>
      <c r="M5" s="381"/>
      <c r="N5" s="381"/>
      <c r="O5" s="381"/>
      <c r="P5" s="381"/>
      <c r="Q5" s="976"/>
      <c r="R5" s="976"/>
      <c r="S5" s="381"/>
      <c r="T5" s="381"/>
      <c r="U5" s="674"/>
      <c r="V5" s="976"/>
      <c r="W5" s="976"/>
      <c r="X5" s="976"/>
      <c r="Y5" s="976"/>
      <c r="Z5" s="976"/>
      <c r="AA5" s="976"/>
      <c r="AB5" s="674"/>
      <c r="AC5" s="1013"/>
      <c r="AD5" s="381"/>
      <c r="AE5" s="381"/>
      <c r="AF5" s="244"/>
      <c r="AG5" s="244"/>
    </row>
    <row r="6" spans="1:47" ht="20.100000000000001" customHeight="1" thickBot="1" x14ac:dyDescent="0.35">
      <c r="A6" s="1053" t="s">
        <v>213</v>
      </c>
      <c r="B6" s="1054"/>
      <c r="C6" s="1054"/>
      <c r="D6" s="1055"/>
      <c r="E6" s="1050" t="s">
        <v>232</v>
      </c>
      <c r="F6" s="1051"/>
      <c r="G6" s="1051"/>
      <c r="H6" s="1051"/>
      <c r="I6" s="1051"/>
      <c r="J6" s="1051"/>
      <c r="K6" s="1051"/>
      <c r="L6" s="1051"/>
      <c r="M6" s="1051"/>
      <c r="N6" s="1051"/>
      <c r="O6" s="1052"/>
      <c r="P6" s="265"/>
      <c r="Q6" s="977"/>
      <c r="R6" s="977"/>
      <c r="S6" s="265"/>
      <c r="T6" s="265"/>
      <c r="U6" s="676"/>
      <c r="V6" s="977"/>
      <c r="W6" s="977"/>
      <c r="X6" s="977"/>
      <c r="Y6" s="977"/>
      <c r="Z6" s="977"/>
      <c r="AA6" s="977"/>
      <c r="AB6" s="676"/>
      <c r="AC6" s="1014"/>
      <c r="AD6" s="253"/>
      <c r="AE6" s="253"/>
      <c r="AF6" s="244"/>
      <c r="AG6" s="244"/>
      <c r="AH6" s="225"/>
    </row>
    <row r="7" spans="1:47" ht="20.100000000000001" customHeight="1" thickBot="1" x14ac:dyDescent="0.3">
      <c r="A7" s="1056"/>
      <c r="B7" s="1056"/>
      <c r="C7" s="1056"/>
      <c r="D7" s="1057"/>
      <c r="E7" s="1044" t="s">
        <v>205</v>
      </c>
      <c r="F7" s="1045"/>
      <c r="G7" s="1045"/>
      <c r="H7" s="1045"/>
      <c r="I7" s="1045"/>
      <c r="J7" s="1046"/>
      <c r="K7" s="1044" t="s">
        <v>206</v>
      </c>
      <c r="L7" s="1045"/>
      <c r="M7" s="1045"/>
      <c r="N7" s="1046"/>
      <c r="O7" s="740"/>
      <c r="P7" s="1047" t="s">
        <v>194</v>
      </c>
      <c r="Q7" s="1048"/>
      <c r="R7" s="1048"/>
      <c r="S7" s="1048"/>
      <c r="T7" s="1048"/>
      <c r="U7" s="1048"/>
      <c r="V7" s="1048"/>
      <c r="W7" s="1048"/>
      <c r="X7" s="1048"/>
      <c r="Y7" s="1048"/>
      <c r="Z7" s="1048"/>
      <c r="AA7" s="1048"/>
      <c r="AB7" s="1048"/>
      <c r="AC7" s="1049"/>
      <c r="AD7" s="888"/>
      <c r="AE7" s="888"/>
      <c r="AF7" s="991"/>
      <c r="AG7" s="991"/>
      <c r="AH7" s="890"/>
      <c r="AI7" s="891"/>
    </row>
    <row r="8" spans="1:47" ht="15.75" customHeight="1" x14ac:dyDescent="0.3">
      <c r="A8" s="232"/>
      <c r="B8" s="870" t="s">
        <v>140</v>
      </c>
      <c r="C8" s="871" t="s">
        <v>124</v>
      </c>
      <c r="D8" s="872" t="s">
        <v>102</v>
      </c>
      <c r="E8" s="1037" t="s">
        <v>78</v>
      </c>
      <c r="F8" s="1038"/>
      <c r="G8" s="1038"/>
      <c r="H8" s="1038"/>
      <c r="I8" s="1038"/>
      <c r="J8" s="741"/>
      <c r="K8" s="1037" t="s">
        <v>78</v>
      </c>
      <c r="L8" s="1038"/>
      <c r="M8" s="1038"/>
      <c r="N8" s="741"/>
      <c r="O8" s="867" t="s">
        <v>54</v>
      </c>
      <c r="P8" s="1039"/>
      <c r="Q8" s="1039"/>
      <c r="R8" s="1039"/>
      <c r="S8" s="1039"/>
      <c r="T8" s="1039"/>
      <c r="U8" s="861"/>
      <c r="V8" s="979"/>
      <c r="W8" s="979"/>
      <c r="X8" s="979"/>
      <c r="Y8" s="979"/>
      <c r="Z8" s="979"/>
      <c r="AA8" s="979"/>
      <c r="AB8" s="861"/>
      <c r="AC8" s="1015"/>
      <c r="AD8" s="718"/>
      <c r="AE8" s="892"/>
      <c r="AF8" s="1060" t="s">
        <v>100</v>
      </c>
      <c r="AG8" s="1061"/>
      <c r="AH8" s="1061"/>
      <c r="AI8" s="1062"/>
    </row>
    <row r="9" spans="1:47" s="23" customFormat="1" ht="15.75" customHeight="1" x14ac:dyDescent="0.25">
      <c r="A9" s="55"/>
      <c r="B9" s="873"/>
      <c r="C9" s="874"/>
      <c r="D9" s="681"/>
      <c r="E9" s="742"/>
      <c r="F9" s="742"/>
      <c r="G9" s="855"/>
      <c r="H9" s="856"/>
      <c r="I9" s="743"/>
      <c r="J9" s="744"/>
      <c r="K9" s="875" t="s">
        <v>90</v>
      </c>
      <c r="L9" s="876" t="s">
        <v>94</v>
      </c>
      <c r="M9" s="877" t="s">
        <v>96</v>
      </c>
      <c r="N9" s="745"/>
      <c r="O9" s="868" t="s">
        <v>81</v>
      </c>
      <c r="P9" s="893"/>
      <c r="Q9" s="893"/>
      <c r="R9" s="893"/>
      <c r="S9" s="894"/>
      <c r="T9" s="893"/>
      <c r="U9" s="895"/>
      <c r="V9" s="980"/>
      <c r="W9" s="980"/>
      <c r="X9" s="980"/>
      <c r="Y9" s="980"/>
      <c r="Z9" s="980"/>
      <c r="AA9" s="980"/>
      <c r="AB9" s="896"/>
      <c r="AC9" s="1016"/>
      <c r="AD9" s="898" t="s">
        <v>110</v>
      </c>
      <c r="AE9" s="892"/>
      <c r="AF9" s="992"/>
      <c r="AG9" s="993"/>
      <c r="AH9" s="864"/>
      <c r="AI9" s="865"/>
      <c r="AJ9" s="241"/>
    </row>
    <row r="10" spans="1:47" ht="15.75" customHeight="1" x14ac:dyDescent="0.25">
      <c r="A10" s="14"/>
      <c r="B10" s="677"/>
      <c r="C10" s="680"/>
      <c r="D10" s="720"/>
      <c r="E10" s="875" t="s">
        <v>41</v>
      </c>
      <c r="F10" s="875" t="s">
        <v>60</v>
      </c>
      <c r="G10" s="1040" t="s">
        <v>34</v>
      </c>
      <c r="H10" s="1041"/>
      <c r="I10" s="860"/>
      <c r="J10" s="878" t="s">
        <v>54</v>
      </c>
      <c r="K10" s="875" t="s">
        <v>91</v>
      </c>
      <c r="L10" s="879" t="s">
        <v>95</v>
      </c>
      <c r="M10" s="880" t="s">
        <v>92</v>
      </c>
      <c r="N10" s="875" t="s">
        <v>76</v>
      </c>
      <c r="O10" s="868" t="s">
        <v>76</v>
      </c>
      <c r="P10" s="899"/>
      <c r="Q10" s="900"/>
      <c r="R10" s="900"/>
      <c r="S10" s="901"/>
      <c r="T10" s="900"/>
      <c r="U10" s="902"/>
      <c r="V10" s="902"/>
      <c r="W10" s="902"/>
      <c r="X10" s="902"/>
      <c r="Y10" s="902"/>
      <c r="Z10" s="902"/>
      <c r="AA10" s="902"/>
      <c r="AB10" s="902"/>
      <c r="AC10" s="1017" t="s">
        <v>56</v>
      </c>
      <c r="AD10" s="898" t="s">
        <v>47</v>
      </c>
      <c r="AE10" s="892"/>
      <c r="AF10" s="1067" t="s">
        <v>189</v>
      </c>
      <c r="AG10" s="1068"/>
      <c r="AH10" s="1063" t="s">
        <v>189</v>
      </c>
      <c r="AI10" s="1064"/>
    </row>
    <row r="11" spans="1:47" ht="16.5" customHeight="1" x14ac:dyDescent="0.25">
      <c r="A11" s="14"/>
      <c r="B11" s="677" t="s">
        <v>70</v>
      </c>
      <c r="C11" s="680" t="s">
        <v>139</v>
      </c>
      <c r="D11" s="720" t="s">
        <v>40</v>
      </c>
      <c r="E11" s="881" t="s">
        <v>26</v>
      </c>
      <c r="F11" s="881" t="s">
        <v>26</v>
      </c>
      <c r="G11" s="746" t="s">
        <v>57</v>
      </c>
      <c r="H11" s="747"/>
      <c r="I11" s="880" t="s">
        <v>35</v>
      </c>
      <c r="J11" s="878" t="s">
        <v>44</v>
      </c>
      <c r="K11" s="875" t="s">
        <v>92</v>
      </c>
      <c r="L11" s="879" t="s">
        <v>71</v>
      </c>
      <c r="M11" s="748" t="s">
        <v>97</v>
      </c>
      <c r="N11" s="875" t="s">
        <v>77</v>
      </c>
      <c r="O11" s="868" t="s">
        <v>82</v>
      </c>
      <c r="P11" s="904"/>
      <c r="Q11" s="905"/>
      <c r="R11" s="905"/>
      <c r="S11" s="906"/>
      <c r="T11" s="906"/>
      <c r="U11" s="907"/>
      <c r="V11" s="907"/>
      <c r="W11" s="907"/>
      <c r="X11" s="907"/>
      <c r="Y11" s="907"/>
      <c r="Z11" s="907"/>
      <c r="AA11" s="907"/>
      <c r="AB11" s="907"/>
      <c r="AC11" s="1017" t="s">
        <v>86</v>
      </c>
      <c r="AD11" s="909" t="s">
        <v>43</v>
      </c>
      <c r="AE11" s="892"/>
      <c r="AF11" s="1069" t="s">
        <v>195</v>
      </c>
      <c r="AG11" s="1070"/>
      <c r="AH11" s="1065" t="s">
        <v>190</v>
      </c>
      <c r="AI11" s="1066"/>
    </row>
    <row r="12" spans="1:47" ht="120.75" customHeight="1" thickBot="1" x14ac:dyDescent="0.3">
      <c r="A12" s="866" t="s">
        <v>0</v>
      </c>
      <c r="B12" s="678" t="s">
        <v>141</v>
      </c>
      <c r="C12" s="680" t="s">
        <v>46</v>
      </c>
      <c r="D12" s="721" t="s">
        <v>74</v>
      </c>
      <c r="E12" s="749" t="s">
        <v>61</v>
      </c>
      <c r="F12" s="750"/>
      <c r="G12" s="751" t="s">
        <v>49</v>
      </c>
      <c r="H12" s="752" t="s">
        <v>49</v>
      </c>
      <c r="I12" s="882" t="s">
        <v>36</v>
      </c>
      <c r="J12" s="883" t="s">
        <v>27</v>
      </c>
      <c r="K12" s="884" t="s">
        <v>93</v>
      </c>
      <c r="L12" s="885" t="s">
        <v>98</v>
      </c>
      <c r="M12" s="753" t="s">
        <v>93</v>
      </c>
      <c r="N12" s="884" t="s">
        <v>27</v>
      </c>
      <c r="O12" s="869" t="s">
        <v>68</v>
      </c>
      <c r="P12" s="984" t="s">
        <v>264</v>
      </c>
      <c r="Q12" s="984" t="s">
        <v>258</v>
      </c>
      <c r="R12" s="983" t="s">
        <v>260</v>
      </c>
      <c r="S12" s="983" t="s">
        <v>267</v>
      </c>
      <c r="T12" s="982" t="s">
        <v>262</v>
      </c>
      <c r="U12" s="983" t="s">
        <v>266</v>
      </c>
      <c r="V12" s="982" t="s">
        <v>261</v>
      </c>
      <c r="W12" s="982" t="s">
        <v>265</v>
      </c>
      <c r="X12" s="982" t="s">
        <v>263</v>
      </c>
      <c r="Y12" s="982" t="s">
        <v>272</v>
      </c>
      <c r="Z12" s="982" t="s">
        <v>273</v>
      </c>
      <c r="AA12" s="982" t="s">
        <v>259</v>
      </c>
      <c r="AB12" s="913"/>
      <c r="AC12" s="1018" t="s">
        <v>27</v>
      </c>
      <c r="AD12" s="916" t="s">
        <v>83</v>
      </c>
      <c r="AE12" s="892"/>
      <c r="AF12" s="994" t="s">
        <v>28</v>
      </c>
      <c r="AG12" s="995" t="s">
        <v>29</v>
      </c>
      <c r="AH12" s="919" t="s">
        <v>28</v>
      </c>
      <c r="AI12" s="920" t="s">
        <v>29</v>
      </c>
    </row>
    <row r="13" spans="1:47" ht="15.75" x14ac:dyDescent="0.25">
      <c r="A13" s="738" t="s">
        <v>17</v>
      </c>
      <c r="B13" s="679"/>
      <c r="C13" s="662"/>
      <c r="D13" s="682"/>
      <c r="E13" s="754"/>
      <c r="F13" s="755"/>
      <c r="G13" s="754"/>
      <c r="H13" s="756"/>
      <c r="I13" s="757"/>
      <c r="J13" s="758"/>
      <c r="K13" s="759"/>
      <c r="L13" s="760"/>
      <c r="M13" s="761"/>
      <c r="N13" s="759"/>
      <c r="O13" s="762"/>
      <c r="P13" s="921"/>
      <c r="Q13" s="891"/>
      <c r="R13" s="891"/>
      <c r="S13" s="922"/>
      <c r="T13" s="926"/>
      <c r="U13" s="927"/>
      <c r="V13" s="927"/>
      <c r="W13" s="927"/>
      <c r="X13" s="927"/>
      <c r="Y13" s="927"/>
      <c r="Z13" s="927"/>
      <c r="AA13" s="927"/>
      <c r="AB13" s="927"/>
      <c r="AC13" s="1019"/>
      <c r="AD13" s="887"/>
      <c r="AE13" s="892"/>
      <c r="AF13" s="996"/>
      <c r="AG13" s="993"/>
      <c r="AH13" s="924"/>
      <c r="AI13" s="925"/>
    </row>
    <row r="14" spans="1:47" ht="16.5" x14ac:dyDescent="0.3">
      <c r="A14" s="688" t="s">
        <v>143</v>
      </c>
      <c r="B14" s="694">
        <v>2291551</v>
      </c>
      <c r="C14" s="376">
        <v>1870405</v>
      </c>
      <c r="D14" s="683">
        <v>1935178</v>
      </c>
      <c r="E14" s="763">
        <f>4898+1744</f>
        <v>6642</v>
      </c>
      <c r="F14" s="764">
        <v>10156</v>
      </c>
      <c r="G14" s="765">
        <v>2423</v>
      </c>
      <c r="H14" s="764">
        <v>23213</v>
      </c>
      <c r="I14" s="766">
        <v>34854</v>
      </c>
      <c r="J14" s="767">
        <f>SUM(E14:I14)</f>
        <v>77288</v>
      </c>
      <c r="K14" s="768">
        <v>75000</v>
      </c>
      <c r="L14" s="769">
        <v>0</v>
      </c>
      <c r="M14" s="766">
        <v>0</v>
      </c>
      <c r="N14" s="770">
        <f>SUM(K14:M14)</f>
        <v>75000</v>
      </c>
      <c r="O14" s="771">
        <f>+J14+N14</f>
        <v>152288</v>
      </c>
      <c r="P14" s="286">
        <f>50000+17000+17000+17000</f>
        <v>101000</v>
      </c>
      <c r="Q14" s="58">
        <v>5000</v>
      </c>
      <c r="R14" s="58">
        <v>437400</v>
      </c>
      <c r="S14" s="293">
        <v>0</v>
      </c>
      <c r="T14" s="83">
        <v>0</v>
      </c>
      <c r="U14" s="293">
        <v>0</v>
      </c>
      <c r="V14" s="293">
        <v>0</v>
      </c>
      <c r="W14" s="293"/>
      <c r="X14" s="293"/>
      <c r="Y14" s="293">
        <v>20000</v>
      </c>
      <c r="Z14" s="293"/>
      <c r="AA14" s="293">
        <v>139959</v>
      </c>
      <c r="AB14" s="293">
        <v>0</v>
      </c>
      <c r="AC14" s="1020">
        <f>SUM(P14:AB14)</f>
        <v>703359</v>
      </c>
      <c r="AD14" s="416">
        <f>+D14+AC14</f>
        <v>2638537</v>
      </c>
      <c r="AE14" s="853"/>
      <c r="AF14" s="997">
        <f>AD14-D14</f>
        <v>703359</v>
      </c>
      <c r="AG14" s="998">
        <f>IF(D14=0,0,AF14/D14)</f>
        <v>0.36345958873033901</v>
      </c>
      <c r="AH14" s="985">
        <f>AD14-B14</f>
        <v>346986</v>
      </c>
      <c r="AI14" s="706">
        <f t="shared" ref="AI14:AI31" si="0">AH14/B14</f>
        <v>0.15141971529326645</v>
      </c>
      <c r="AQ14" s="207">
        <f>+AP14-AO14</f>
        <v>0</v>
      </c>
      <c r="AU14" s="95">
        <v>314221804</v>
      </c>
    </row>
    <row r="15" spans="1:47" ht="15.75" customHeight="1" x14ac:dyDescent="0.3">
      <c r="A15" s="263" t="s">
        <v>2</v>
      </c>
      <c r="B15" s="694">
        <v>251885</v>
      </c>
      <c r="C15" s="376">
        <v>179751</v>
      </c>
      <c r="D15" s="683">
        <v>182597</v>
      </c>
      <c r="E15" s="763">
        <f>587+205</f>
        <v>792</v>
      </c>
      <c r="F15" s="764">
        <v>1066</v>
      </c>
      <c r="G15" s="765">
        <v>57</v>
      </c>
      <c r="H15" s="764">
        <v>1999</v>
      </c>
      <c r="I15" s="766">
        <v>3266</v>
      </c>
      <c r="J15" s="767">
        <f>SUM(E15:I15)</f>
        <v>7180</v>
      </c>
      <c r="K15" s="768">
        <v>0</v>
      </c>
      <c r="L15" s="769">
        <v>0</v>
      </c>
      <c r="M15" s="766">
        <v>0</v>
      </c>
      <c r="N15" s="770">
        <f>SUM(K15:M15)</f>
        <v>0</v>
      </c>
      <c r="O15" s="771">
        <f>+J15+N15</f>
        <v>7180</v>
      </c>
      <c r="P15" s="286">
        <v>0</v>
      </c>
      <c r="Q15" s="58"/>
      <c r="R15" s="58">
        <v>30000</v>
      </c>
      <c r="S15" s="293">
        <v>0</v>
      </c>
      <c r="T15" s="83">
        <v>0</v>
      </c>
      <c r="U15" s="293">
        <v>0</v>
      </c>
      <c r="V15" s="293">
        <v>0</v>
      </c>
      <c r="W15" s="293"/>
      <c r="X15" s="293"/>
      <c r="Y15" s="293"/>
      <c r="Z15" s="293"/>
      <c r="AA15" s="293">
        <v>10000</v>
      </c>
      <c r="AB15" s="293">
        <v>0</v>
      </c>
      <c r="AC15" s="1020">
        <f>SUM(P15:AB15)</f>
        <v>40000</v>
      </c>
      <c r="AD15" s="416">
        <f>+D15+AC15</f>
        <v>222597</v>
      </c>
      <c r="AE15" s="853"/>
      <c r="AF15" s="997">
        <f>AD15-D15</f>
        <v>40000</v>
      </c>
      <c r="AG15" s="998">
        <f>IF(D15=0,0,AF15/D15)</f>
        <v>0.21906164942468934</v>
      </c>
      <c r="AH15" s="985">
        <f>AD15-B15</f>
        <v>-29288</v>
      </c>
      <c r="AI15" s="706">
        <f t="shared" si="0"/>
        <v>-0.11627528435595609</v>
      </c>
      <c r="AQ15" s="207">
        <f>+AP15-AO15</f>
        <v>0</v>
      </c>
      <c r="AU15" s="95">
        <v>29863402</v>
      </c>
    </row>
    <row r="16" spans="1:47" ht="16.5" x14ac:dyDescent="0.3">
      <c r="A16" s="263" t="s">
        <v>3</v>
      </c>
      <c r="B16" s="694">
        <v>207791</v>
      </c>
      <c r="C16" s="376">
        <v>82654</v>
      </c>
      <c r="D16" s="683">
        <v>94080</v>
      </c>
      <c r="E16" s="763">
        <f>212+74</f>
        <v>286</v>
      </c>
      <c r="F16" s="764">
        <v>530</v>
      </c>
      <c r="G16" s="765">
        <v>20</v>
      </c>
      <c r="H16" s="764">
        <v>1048</v>
      </c>
      <c r="I16" s="766">
        <v>1521</v>
      </c>
      <c r="J16" s="767">
        <f>SUM(E16:I16)</f>
        <v>3405</v>
      </c>
      <c r="K16" s="768">
        <v>0</v>
      </c>
      <c r="L16" s="769">
        <v>0</v>
      </c>
      <c r="M16" s="766">
        <v>0</v>
      </c>
      <c r="N16" s="770">
        <f>SUM(K16:M16)</f>
        <v>0</v>
      </c>
      <c r="O16" s="771">
        <f>+J16+N16</f>
        <v>3405</v>
      </c>
      <c r="P16" s="286">
        <v>0</v>
      </c>
      <c r="Q16" s="58"/>
      <c r="R16" s="58">
        <v>55000</v>
      </c>
      <c r="S16" s="293">
        <v>0</v>
      </c>
      <c r="T16" s="83">
        <v>0</v>
      </c>
      <c r="U16" s="293">
        <v>0</v>
      </c>
      <c r="V16" s="293">
        <v>0</v>
      </c>
      <c r="W16" s="293"/>
      <c r="X16" s="293"/>
      <c r="Y16" s="293"/>
      <c r="Z16" s="293"/>
      <c r="AA16" s="293">
        <v>10000</v>
      </c>
      <c r="AB16" s="293">
        <v>0</v>
      </c>
      <c r="AC16" s="1020">
        <f>SUM(P16:AB16)</f>
        <v>65000</v>
      </c>
      <c r="AD16" s="416">
        <f>+D16+AC16</f>
        <v>159080</v>
      </c>
      <c r="AE16" s="853"/>
      <c r="AF16" s="997">
        <f>AD16-D16</f>
        <v>65000</v>
      </c>
      <c r="AG16" s="998">
        <f>IF(D16=0,0,AF16/D16)</f>
        <v>0.69090136054421769</v>
      </c>
      <c r="AH16" s="985">
        <f>AD16-B16</f>
        <v>-48711</v>
      </c>
      <c r="AI16" s="706">
        <f t="shared" si="0"/>
        <v>-0.23442305008397862</v>
      </c>
      <c r="AQ16" s="207">
        <f>+AP16-AO16</f>
        <v>0</v>
      </c>
      <c r="AU16" s="95">
        <v>11174379</v>
      </c>
    </row>
    <row r="17" spans="1:47" ht="16.5" x14ac:dyDescent="0.3">
      <c r="A17" s="263" t="s">
        <v>4</v>
      </c>
      <c r="B17" s="694">
        <v>327759</v>
      </c>
      <c r="C17" s="376">
        <v>205593</v>
      </c>
      <c r="D17" s="683">
        <v>218353</v>
      </c>
      <c r="E17" s="763">
        <f>170+55</f>
        <v>225</v>
      </c>
      <c r="F17" s="764">
        <v>1414</v>
      </c>
      <c r="G17" s="765">
        <v>31</v>
      </c>
      <c r="H17" s="764">
        <v>3373</v>
      </c>
      <c r="I17" s="766">
        <v>4087</v>
      </c>
      <c r="J17" s="767">
        <f>SUM(E17:I17)</f>
        <v>9130</v>
      </c>
      <c r="K17" s="768">
        <v>0</v>
      </c>
      <c r="L17" s="769">
        <v>0</v>
      </c>
      <c r="M17" s="766">
        <v>0</v>
      </c>
      <c r="N17" s="770">
        <f>SUM(K17:M17)</f>
        <v>0</v>
      </c>
      <c r="O17" s="771">
        <f>+J17+N17</f>
        <v>9130</v>
      </c>
      <c r="P17" s="286">
        <v>0</v>
      </c>
      <c r="Q17" s="58"/>
      <c r="R17" s="58">
        <v>55000</v>
      </c>
      <c r="S17" s="293">
        <v>5000</v>
      </c>
      <c r="T17" s="83">
        <v>0</v>
      </c>
      <c r="U17" s="293">
        <v>0</v>
      </c>
      <c r="V17" s="293">
        <v>0</v>
      </c>
      <c r="W17" s="293"/>
      <c r="X17" s="293"/>
      <c r="Y17" s="293"/>
      <c r="Z17" s="293"/>
      <c r="AA17" s="293">
        <v>10000</v>
      </c>
      <c r="AB17" s="293">
        <v>0</v>
      </c>
      <c r="AC17" s="1020">
        <f>SUM(P17:AB17)</f>
        <v>70000</v>
      </c>
      <c r="AD17" s="416">
        <f>+D17+AC17</f>
        <v>288353</v>
      </c>
      <c r="AE17" s="853"/>
      <c r="AF17" s="997">
        <f>AD17-D17</f>
        <v>70000</v>
      </c>
      <c r="AG17" s="998">
        <f>IF(D17=0,0,AF17/D17)</f>
        <v>0.32058181018808996</v>
      </c>
      <c r="AH17" s="985">
        <f>AD17-B17</f>
        <v>-39406</v>
      </c>
      <c r="AI17" s="706">
        <f t="shared" si="0"/>
        <v>-0.12022858258659563</v>
      </c>
      <c r="AQ17" s="207">
        <f>+AP17-AO17</f>
        <v>0</v>
      </c>
      <c r="AU17" s="95">
        <v>31324734</v>
      </c>
    </row>
    <row r="18" spans="1:47" ht="16.5" x14ac:dyDescent="0.3">
      <c r="A18" s="263" t="s">
        <v>84</v>
      </c>
      <c r="B18" s="694">
        <v>1244706</v>
      </c>
      <c r="C18" s="376">
        <v>914139</v>
      </c>
      <c r="D18" s="683">
        <v>928830</v>
      </c>
      <c r="E18" s="763">
        <v>0</v>
      </c>
      <c r="F18" s="764">
        <v>0</v>
      </c>
      <c r="G18" s="765">
        <v>0</v>
      </c>
      <c r="H18" s="764">
        <v>37382</v>
      </c>
      <c r="I18" s="766">
        <v>17721</v>
      </c>
      <c r="J18" s="767">
        <f>SUM(E18:I18)</f>
        <v>55103</v>
      </c>
      <c r="K18" s="768">
        <v>0</v>
      </c>
      <c r="L18" s="769">
        <v>0</v>
      </c>
      <c r="M18" s="766">
        <v>0</v>
      </c>
      <c r="N18" s="770">
        <f>SUM(K18:M18)</f>
        <v>0</v>
      </c>
      <c r="O18" s="771">
        <f>+J18+N18</f>
        <v>55103</v>
      </c>
      <c r="P18" s="286">
        <v>0</v>
      </c>
      <c r="Q18" s="58"/>
      <c r="R18" s="58">
        <v>125000</v>
      </c>
      <c r="S18" s="293">
        <v>0</v>
      </c>
      <c r="T18" s="83">
        <v>0</v>
      </c>
      <c r="U18" s="293">
        <v>0</v>
      </c>
      <c r="V18" s="293">
        <v>0</v>
      </c>
      <c r="W18" s="293"/>
      <c r="X18" s="293"/>
      <c r="Y18" s="293"/>
      <c r="Z18" s="293"/>
      <c r="AA18" s="293">
        <v>10000</v>
      </c>
      <c r="AB18" s="293">
        <v>0</v>
      </c>
      <c r="AC18" s="1020">
        <f>SUM(P18:AB18)</f>
        <v>135000</v>
      </c>
      <c r="AD18" s="416">
        <f>+D18+AC18</f>
        <v>1063830</v>
      </c>
      <c r="AE18" s="853"/>
      <c r="AF18" s="997">
        <f>AD18-D18</f>
        <v>135000</v>
      </c>
      <c r="AG18" s="998">
        <f>IF(D18=0,0,AF18/D18)</f>
        <v>0.14534414263105197</v>
      </c>
      <c r="AH18" s="985">
        <f>AD18-B18</f>
        <v>-180876</v>
      </c>
      <c r="AI18" s="711">
        <f t="shared" si="0"/>
        <v>-0.14531624335385224</v>
      </c>
      <c r="AQ18" s="207"/>
      <c r="AU18" s="95">
        <v>85416008</v>
      </c>
    </row>
    <row r="19" spans="1:47" ht="16.5" x14ac:dyDescent="0.3">
      <c r="A19" s="264" t="s">
        <v>21</v>
      </c>
      <c r="B19" s="695">
        <f>SUM(B14:B18)</f>
        <v>4323692</v>
      </c>
      <c r="C19" s="663">
        <f t="shared" ref="C19:I19" si="1">SUM(C14:C18)</f>
        <v>3252542</v>
      </c>
      <c r="D19" s="422">
        <f t="shared" si="1"/>
        <v>3359038</v>
      </c>
      <c r="E19" s="772">
        <f t="shared" si="1"/>
        <v>7945</v>
      </c>
      <c r="F19" s="773">
        <f t="shared" si="1"/>
        <v>13166</v>
      </c>
      <c r="G19" s="774">
        <f t="shared" si="1"/>
        <v>2531</v>
      </c>
      <c r="H19" s="775">
        <f t="shared" si="1"/>
        <v>67015</v>
      </c>
      <c r="I19" s="776">
        <f t="shared" si="1"/>
        <v>61449</v>
      </c>
      <c r="J19" s="777">
        <f t="shared" ref="J19:AD19" si="2">SUM(J14:J18)</f>
        <v>152106</v>
      </c>
      <c r="K19" s="772">
        <f t="shared" si="2"/>
        <v>75000</v>
      </c>
      <c r="L19" s="778">
        <f>SUM(L14:L18)</f>
        <v>0</v>
      </c>
      <c r="M19" s="779">
        <f t="shared" si="2"/>
        <v>0</v>
      </c>
      <c r="N19" s="780">
        <f t="shared" si="2"/>
        <v>75000</v>
      </c>
      <c r="O19" s="781">
        <f t="shared" si="2"/>
        <v>227106</v>
      </c>
      <c r="P19" s="287">
        <f t="shared" si="2"/>
        <v>101000</v>
      </c>
      <c r="Q19" s="287">
        <f t="shared" si="2"/>
        <v>5000</v>
      </c>
      <c r="R19" s="272">
        <f t="shared" si="2"/>
        <v>702400</v>
      </c>
      <c r="S19" s="294">
        <f t="shared" si="2"/>
        <v>5000</v>
      </c>
      <c r="T19" s="931">
        <f t="shared" si="2"/>
        <v>0</v>
      </c>
      <c r="U19" s="931">
        <f t="shared" si="2"/>
        <v>0</v>
      </c>
      <c r="V19" s="931">
        <f t="shared" si="2"/>
        <v>0</v>
      </c>
      <c r="W19" s="931">
        <f t="shared" si="2"/>
        <v>0</v>
      </c>
      <c r="X19" s="931">
        <f t="shared" si="2"/>
        <v>0</v>
      </c>
      <c r="Y19" s="931">
        <f t="shared" si="2"/>
        <v>20000</v>
      </c>
      <c r="Z19" s="931">
        <f t="shared" si="2"/>
        <v>0</v>
      </c>
      <c r="AA19" s="931">
        <f t="shared" si="2"/>
        <v>179959</v>
      </c>
      <c r="AB19" s="294"/>
      <c r="AC19" s="1021">
        <f t="shared" si="2"/>
        <v>1013359</v>
      </c>
      <c r="AD19" s="417">
        <f t="shared" si="2"/>
        <v>4372397</v>
      </c>
      <c r="AE19" s="853"/>
      <c r="AF19" s="999">
        <f>SUM(AF14:AF18)</f>
        <v>1013359</v>
      </c>
      <c r="AG19" s="1000">
        <f>IF(B19=0,0,AF19/B19)</f>
        <v>0.23437354002088956</v>
      </c>
      <c r="AH19" s="986">
        <f>SUM(AH14:AH18)</f>
        <v>48705</v>
      </c>
      <c r="AI19" s="707">
        <f t="shared" si="0"/>
        <v>1.1264678427603076E-2</v>
      </c>
      <c r="AQ19" s="123">
        <f>SUM(AQ14:AQ18)</f>
        <v>0</v>
      </c>
      <c r="AU19" s="96">
        <f>SUM(AU14:AU18)</f>
        <v>472000327</v>
      </c>
    </row>
    <row r="20" spans="1:47" ht="16.5" x14ac:dyDescent="0.3">
      <c r="A20" s="263" t="s">
        <v>6</v>
      </c>
      <c r="B20" s="694">
        <v>104891</v>
      </c>
      <c r="C20" s="376">
        <v>77498</v>
      </c>
      <c r="D20" s="683">
        <v>78701</v>
      </c>
      <c r="E20" s="765">
        <f>224+78</f>
        <v>302</v>
      </c>
      <c r="F20" s="764">
        <v>494</v>
      </c>
      <c r="G20" s="765">
        <v>27</v>
      </c>
      <c r="H20" s="764">
        <v>2031</v>
      </c>
      <c r="I20" s="766">
        <v>1432</v>
      </c>
      <c r="J20" s="767">
        <f>SUM(E20:I20)</f>
        <v>4286</v>
      </c>
      <c r="K20" s="768">
        <v>0</v>
      </c>
      <c r="L20" s="769">
        <v>0</v>
      </c>
      <c r="M20" s="766">
        <v>0</v>
      </c>
      <c r="N20" s="770">
        <f>SUM(K20:M20)</f>
        <v>0</v>
      </c>
      <c r="O20" s="771">
        <f>+J20+N20</f>
        <v>4286</v>
      </c>
      <c r="P20" s="286">
        <v>0</v>
      </c>
      <c r="Q20" s="58"/>
      <c r="R20" s="58"/>
      <c r="S20" s="293">
        <v>0</v>
      </c>
      <c r="T20" s="83">
        <v>0</v>
      </c>
      <c r="U20" s="293">
        <v>0</v>
      </c>
      <c r="V20" s="293">
        <v>0</v>
      </c>
      <c r="W20" s="293"/>
      <c r="X20" s="293"/>
      <c r="Y20" s="293"/>
      <c r="Z20" s="293"/>
      <c r="AA20" s="293">
        <v>5000</v>
      </c>
      <c r="AB20" s="293">
        <v>0</v>
      </c>
      <c r="AC20" s="1020">
        <f>SUM(P20:AB20)</f>
        <v>5000</v>
      </c>
      <c r="AD20" s="416">
        <f>+D20+AC20</f>
        <v>83701</v>
      </c>
      <c r="AE20" s="853"/>
      <c r="AF20" s="997">
        <f>AD20-D20</f>
        <v>5000</v>
      </c>
      <c r="AG20" s="998">
        <f>IF(D20=0,0,AF20/D20)</f>
        <v>6.3531594261826405E-2</v>
      </c>
      <c r="AH20" s="985">
        <f>AD20-B20</f>
        <v>-21190</v>
      </c>
      <c r="AI20" s="706">
        <f t="shared" si="0"/>
        <v>-0.20201923901955363</v>
      </c>
      <c r="AQ20" s="207">
        <f>+AP20-AO20</f>
        <v>0</v>
      </c>
      <c r="AU20" s="95">
        <v>9878519</v>
      </c>
    </row>
    <row r="21" spans="1:47" ht="16.5" x14ac:dyDescent="0.3">
      <c r="A21" s="263" t="s">
        <v>7</v>
      </c>
      <c r="B21" s="694">
        <v>35927</v>
      </c>
      <c r="C21" s="376">
        <v>18313</v>
      </c>
      <c r="D21" s="683">
        <v>18663</v>
      </c>
      <c r="E21" s="765">
        <f>31+10</f>
        <v>41</v>
      </c>
      <c r="F21" s="764">
        <v>134</v>
      </c>
      <c r="G21" s="765">
        <v>2</v>
      </c>
      <c r="H21" s="764">
        <v>596</v>
      </c>
      <c r="I21" s="766">
        <v>344</v>
      </c>
      <c r="J21" s="767">
        <f>SUM(E21:I21)</f>
        <v>1117</v>
      </c>
      <c r="K21" s="768">
        <v>0</v>
      </c>
      <c r="L21" s="769">
        <v>0</v>
      </c>
      <c r="M21" s="766">
        <v>0</v>
      </c>
      <c r="N21" s="770">
        <f>SUM(K21:M21)</f>
        <v>0</v>
      </c>
      <c r="O21" s="771">
        <f>+J21+N21</f>
        <v>1117</v>
      </c>
      <c r="P21" s="286">
        <v>0</v>
      </c>
      <c r="Q21" s="58"/>
      <c r="R21" s="58"/>
      <c r="S21" s="293">
        <v>0</v>
      </c>
      <c r="T21" s="83">
        <v>0</v>
      </c>
      <c r="U21" s="293">
        <v>0</v>
      </c>
      <c r="V21" s="293">
        <v>0</v>
      </c>
      <c r="W21" s="293"/>
      <c r="X21" s="293"/>
      <c r="Y21" s="293"/>
      <c r="Z21" s="293"/>
      <c r="AA21" s="293">
        <v>7500</v>
      </c>
      <c r="AB21" s="293">
        <v>0</v>
      </c>
      <c r="AC21" s="1020">
        <f>SUM(P21:AB21)</f>
        <v>7500</v>
      </c>
      <c r="AD21" s="416">
        <f>+D21+AC21</f>
        <v>26163</v>
      </c>
      <c r="AE21" s="853"/>
      <c r="AF21" s="997">
        <f>AD21-D21</f>
        <v>7500</v>
      </c>
      <c r="AG21" s="998">
        <f>IF(D21=0,0,AF21/D21)</f>
        <v>0.40186465198521137</v>
      </c>
      <c r="AH21" s="985">
        <f>AD21-B21</f>
        <v>-9764</v>
      </c>
      <c r="AI21" s="706">
        <f t="shared" si="0"/>
        <v>-0.27177331811729338</v>
      </c>
      <c r="AQ21" s="207">
        <f>+AP21-AO21</f>
        <v>0</v>
      </c>
      <c r="AU21" s="95">
        <v>2461441</v>
      </c>
    </row>
    <row r="22" spans="1:47" ht="16.5" x14ac:dyDescent="0.3">
      <c r="A22" s="263" t="s">
        <v>8</v>
      </c>
      <c r="B22" s="694">
        <v>92166</v>
      </c>
      <c r="C22" s="376">
        <v>58906</v>
      </c>
      <c r="D22" s="683">
        <v>60325</v>
      </c>
      <c r="E22" s="765">
        <f>6+1</f>
        <v>7</v>
      </c>
      <c r="F22" s="764">
        <v>493</v>
      </c>
      <c r="G22" s="765">
        <v>1</v>
      </c>
      <c r="H22" s="764">
        <v>2336</v>
      </c>
      <c r="I22" s="766">
        <v>1123</v>
      </c>
      <c r="J22" s="767">
        <f>SUM(E22:I22)</f>
        <v>3960</v>
      </c>
      <c r="K22" s="768">
        <v>0</v>
      </c>
      <c r="L22" s="769">
        <v>0</v>
      </c>
      <c r="M22" s="766">
        <v>0</v>
      </c>
      <c r="N22" s="770">
        <f>SUM(K22:M22)</f>
        <v>0</v>
      </c>
      <c r="O22" s="771">
        <f>+J22+N22</f>
        <v>3960</v>
      </c>
      <c r="P22" s="286">
        <v>0</v>
      </c>
      <c r="Q22" s="58"/>
      <c r="R22" s="58"/>
      <c r="S22" s="293">
        <v>0</v>
      </c>
      <c r="T22" s="83">
        <v>0</v>
      </c>
      <c r="U22" s="293">
        <v>0</v>
      </c>
      <c r="V22" s="293">
        <v>0</v>
      </c>
      <c r="W22" s="293"/>
      <c r="X22" s="293"/>
      <c r="Y22" s="293"/>
      <c r="Z22" s="293"/>
      <c r="AA22" s="293">
        <v>17500</v>
      </c>
      <c r="AB22" s="293">
        <v>0</v>
      </c>
      <c r="AC22" s="1020">
        <f>SUM(P22:AB22)</f>
        <v>17500</v>
      </c>
      <c r="AD22" s="416">
        <f>+D22+AC22</f>
        <v>77825</v>
      </c>
      <c r="AE22" s="853"/>
      <c r="AF22" s="997">
        <f>AD22-D22</f>
        <v>17500</v>
      </c>
      <c r="AG22" s="998">
        <f>IF(D22=0,0,AF22/D22)</f>
        <v>0.29009531703273933</v>
      </c>
      <c r="AH22" s="985">
        <f>AD22-B22</f>
        <v>-14341</v>
      </c>
      <c r="AI22" s="706">
        <f t="shared" si="0"/>
        <v>-0.15559967884035328</v>
      </c>
      <c r="AQ22" s="207"/>
      <c r="AU22" s="95">
        <v>4243368</v>
      </c>
    </row>
    <row r="23" spans="1:47" ht="16.5" x14ac:dyDescent="0.3">
      <c r="A23" s="263" t="s">
        <v>9</v>
      </c>
      <c r="B23" s="694">
        <v>2068</v>
      </c>
      <c r="C23" s="376">
        <v>1950</v>
      </c>
      <c r="D23" s="683">
        <v>2041</v>
      </c>
      <c r="E23" s="765">
        <v>0</v>
      </c>
      <c r="F23" s="764">
        <v>17</v>
      </c>
      <c r="G23" s="765">
        <v>0</v>
      </c>
      <c r="H23" s="764">
        <v>74</v>
      </c>
      <c r="I23" s="766">
        <v>35</v>
      </c>
      <c r="J23" s="767">
        <f>SUM(E23:I23)</f>
        <v>126</v>
      </c>
      <c r="K23" s="768">
        <v>0</v>
      </c>
      <c r="L23" s="769">
        <v>0</v>
      </c>
      <c r="M23" s="766">
        <v>0</v>
      </c>
      <c r="N23" s="770">
        <f>SUM(K23:M23)</f>
        <v>0</v>
      </c>
      <c r="O23" s="771">
        <f>+J23+N23</f>
        <v>126</v>
      </c>
      <c r="P23" s="286">
        <v>0</v>
      </c>
      <c r="Q23" s="58"/>
      <c r="R23" s="58"/>
      <c r="S23" s="293">
        <v>0</v>
      </c>
      <c r="T23" s="83">
        <v>0</v>
      </c>
      <c r="U23" s="293">
        <v>0</v>
      </c>
      <c r="V23" s="293">
        <v>0</v>
      </c>
      <c r="W23" s="293"/>
      <c r="X23" s="293"/>
      <c r="Y23" s="293"/>
      <c r="Z23" s="293"/>
      <c r="AA23" s="293"/>
      <c r="AB23" s="293">
        <v>0</v>
      </c>
      <c r="AC23" s="1020">
        <f>SUM(P23:AB23)</f>
        <v>0</v>
      </c>
      <c r="AD23" s="416">
        <f>+D23+AC23</f>
        <v>2041</v>
      </c>
      <c r="AE23" s="853"/>
      <c r="AF23" s="997">
        <f>AD23-D23</f>
        <v>0</v>
      </c>
      <c r="AG23" s="998">
        <f>IF(D23=0,0,AF23/D23)</f>
        <v>0</v>
      </c>
      <c r="AH23" s="985">
        <f>AD23-B23</f>
        <v>-27</v>
      </c>
      <c r="AI23" s="706">
        <f t="shared" si="0"/>
        <v>-1.3056092843326886E-2</v>
      </c>
      <c r="AQ23" s="207"/>
      <c r="AU23" s="95">
        <v>1826000</v>
      </c>
    </row>
    <row r="24" spans="1:47" ht="16.5" x14ac:dyDescent="0.3">
      <c r="A24" s="264" t="s">
        <v>24</v>
      </c>
      <c r="B24" s="695">
        <f>SUM(B20:B23)</f>
        <v>235052</v>
      </c>
      <c r="C24" s="663">
        <f t="shared" ref="C24:I24" si="3">SUM(C20:C23)</f>
        <v>156667</v>
      </c>
      <c r="D24" s="422">
        <f t="shared" si="3"/>
        <v>159730</v>
      </c>
      <c r="E24" s="772">
        <f t="shared" si="3"/>
        <v>350</v>
      </c>
      <c r="F24" s="773">
        <f t="shared" si="3"/>
        <v>1138</v>
      </c>
      <c r="G24" s="774">
        <f t="shared" si="3"/>
        <v>30</v>
      </c>
      <c r="H24" s="775">
        <f t="shared" si="3"/>
        <v>5037</v>
      </c>
      <c r="I24" s="776">
        <f t="shared" si="3"/>
        <v>2934</v>
      </c>
      <c r="J24" s="777">
        <f t="shared" ref="J24:AD24" si="4">SUM(J20:J23)</f>
        <v>9489</v>
      </c>
      <c r="K24" s="772">
        <f t="shared" si="4"/>
        <v>0</v>
      </c>
      <c r="L24" s="778">
        <f>SUM(L20:L23)</f>
        <v>0</v>
      </c>
      <c r="M24" s="779">
        <f t="shared" si="4"/>
        <v>0</v>
      </c>
      <c r="N24" s="780">
        <f t="shared" si="4"/>
        <v>0</v>
      </c>
      <c r="O24" s="781">
        <f t="shared" si="4"/>
        <v>9489</v>
      </c>
      <c r="P24" s="287">
        <f t="shared" si="4"/>
        <v>0</v>
      </c>
      <c r="Q24" s="272"/>
      <c r="R24" s="272"/>
      <c r="S24" s="294">
        <f t="shared" si="4"/>
        <v>0</v>
      </c>
      <c r="T24" s="931">
        <f t="shared" si="4"/>
        <v>0</v>
      </c>
      <c r="U24" s="931">
        <f t="shared" si="4"/>
        <v>0</v>
      </c>
      <c r="V24" s="931">
        <f t="shared" si="4"/>
        <v>0</v>
      </c>
      <c r="W24" s="931">
        <f t="shared" si="4"/>
        <v>0</v>
      </c>
      <c r="X24" s="931">
        <f t="shared" si="4"/>
        <v>0</v>
      </c>
      <c r="Y24" s="931">
        <f t="shared" si="4"/>
        <v>0</v>
      </c>
      <c r="Z24" s="931">
        <f t="shared" si="4"/>
        <v>0</v>
      </c>
      <c r="AA24" s="931">
        <f t="shared" si="4"/>
        <v>30000</v>
      </c>
      <c r="AB24" s="294"/>
      <c r="AC24" s="1021">
        <f t="shared" si="4"/>
        <v>30000</v>
      </c>
      <c r="AD24" s="417">
        <f t="shared" si="4"/>
        <v>189730</v>
      </c>
      <c r="AE24" s="853"/>
      <c r="AF24" s="999">
        <f>SUM(AF20:AF23)</f>
        <v>30000</v>
      </c>
      <c r="AG24" s="1001">
        <f>IF(B24=0,0,AF24/B24)</f>
        <v>0.1276313326412879</v>
      </c>
      <c r="AH24" s="986">
        <f>SUM(AH20:AH23)</f>
        <v>-45322</v>
      </c>
      <c r="AI24" s="707">
        <f t="shared" si="0"/>
        <v>-0.19281690859894832</v>
      </c>
      <c r="AQ24" s="123">
        <f>SUM(AQ20:AQ23)</f>
        <v>0</v>
      </c>
      <c r="AU24" s="96">
        <f>SUM(AU20:AU23)</f>
        <v>18409328</v>
      </c>
    </row>
    <row r="25" spans="1:47" ht="16.5" x14ac:dyDescent="0.3">
      <c r="A25" s="263" t="s">
        <v>10</v>
      </c>
      <c r="B25" s="694">
        <v>67321</v>
      </c>
      <c r="C25" s="376">
        <v>44741</v>
      </c>
      <c r="D25" s="683">
        <v>47678</v>
      </c>
      <c r="E25" s="765">
        <f>16+5</f>
        <v>21</v>
      </c>
      <c r="F25" s="764">
        <v>244</v>
      </c>
      <c r="G25" s="765">
        <v>65</v>
      </c>
      <c r="H25" s="764">
        <v>1470</v>
      </c>
      <c r="I25" s="766">
        <v>785</v>
      </c>
      <c r="J25" s="767">
        <f>SUM(E25:I25)</f>
        <v>2585</v>
      </c>
      <c r="K25" s="765">
        <v>0</v>
      </c>
      <c r="L25" s="782">
        <v>0</v>
      </c>
      <c r="M25" s="766">
        <v>0</v>
      </c>
      <c r="N25" s="770">
        <f>SUM(K25:M25)</f>
        <v>0</v>
      </c>
      <c r="O25" s="771">
        <f>+J25+N25</f>
        <v>2585</v>
      </c>
      <c r="P25" s="286">
        <v>0</v>
      </c>
      <c r="Q25" s="58"/>
      <c r="R25" s="58"/>
      <c r="S25" s="293">
        <v>0</v>
      </c>
      <c r="T25" s="83">
        <v>0</v>
      </c>
      <c r="U25" s="293">
        <v>0</v>
      </c>
      <c r="V25" s="293">
        <v>25000</v>
      </c>
      <c r="W25" s="293"/>
      <c r="X25" s="293"/>
      <c r="Y25" s="293"/>
      <c r="Z25" s="293"/>
      <c r="AA25" s="293">
        <v>10000</v>
      </c>
      <c r="AB25" s="293">
        <v>0</v>
      </c>
      <c r="AC25" s="1020">
        <f>SUM(P25:AB25)</f>
        <v>35000</v>
      </c>
      <c r="AD25" s="416">
        <f>+D25+AC25</f>
        <v>82678</v>
      </c>
      <c r="AE25" s="853"/>
      <c r="AF25" s="997">
        <f>AD25-D25</f>
        <v>35000</v>
      </c>
      <c r="AG25" s="998">
        <f>IF(D25=0,0,AF25/D25)</f>
        <v>0.73409119510046561</v>
      </c>
      <c r="AH25" s="985">
        <f>AD25-B25</f>
        <v>15357</v>
      </c>
      <c r="AI25" s="706">
        <f t="shared" si="0"/>
        <v>0.22811604105702529</v>
      </c>
      <c r="AQ25" s="207"/>
      <c r="AU25" s="95">
        <v>0</v>
      </c>
    </row>
    <row r="26" spans="1:47" ht="16.5" x14ac:dyDescent="0.3">
      <c r="A26" s="263" t="s">
        <v>11</v>
      </c>
      <c r="B26" s="694">
        <v>62436</v>
      </c>
      <c r="C26" s="376">
        <v>43342</v>
      </c>
      <c r="D26" s="683">
        <v>49345</v>
      </c>
      <c r="E26" s="765">
        <f>14+4</f>
        <v>18</v>
      </c>
      <c r="F26" s="764">
        <v>0</v>
      </c>
      <c r="G26" s="765">
        <v>985</v>
      </c>
      <c r="H26" s="764">
        <v>0</v>
      </c>
      <c r="I26" s="766">
        <v>0</v>
      </c>
      <c r="J26" s="767">
        <f>SUM(E26:I26)</f>
        <v>1003</v>
      </c>
      <c r="K26" s="765">
        <v>0</v>
      </c>
      <c r="L26" s="782">
        <v>0</v>
      </c>
      <c r="M26" s="766">
        <v>0</v>
      </c>
      <c r="N26" s="770">
        <f>SUM(K26:M26)</f>
        <v>0</v>
      </c>
      <c r="O26" s="771">
        <f>+J26+N26</f>
        <v>1003</v>
      </c>
      <c r="P26" s="286">
        <v>0</v>
      </c>
      <c r="Q26" s="58"/>
      <c r="R26" s="58"/>
      <c r="S26" s="293">
        <v>0</v>
      </c>
      <c r="T26" s="83">
        <v>0</v>
      </c>
      <c r="U26" s="293">
        <v>0</v>
      </c>
      <c r="V26" s="293">
        <v>0</v>
      </c>
      <c r="W26" s="293"/>
      <c r="X26" s="293"/>
      <c r="Y26" s="293"/>
      <c r="Z26" s="293">
        <v>5000</v>
      </c>
      <c r="AA26" s="293">
        <v>10000</v>
      </c>
      <c r="AB26" s="293">
        <v>0</v>
      </c>
      <c r="AC26" s="1020">
        <f>SUM(P26:AB26)</f>
        <v>15000</v>
      </c>
      <c r="AD26" s="416">
        <f>+D26+AC26</f>
        <v>64345</v>
      </c>
      <c r="AE26" s="853"/>
      <c r="AF26" s="997">
        <f>AD26-D26</f>
        <v>15000</v>
      </c>
      <c r="AG26" s="998">
        <f>IF(D26=0,0,AF26/D26)</f>
        <v>0.30398216637957237</v>
      </c>
      <c r="AH26" s="985">
        <f>AD26-B26</f>
        <v>1909</v>
      </c>
      <c r="AI26" s="706">
        <f t="shared" si="0"/>
        <v>3.0575309116535332E-2</v>
      </c>
      <c r="AQ26" s="207">
        <f>+AP26-AO26</f>
        <v>0</v>
      </c>
      <c r="AU26" s="95">
        <v>0</v>
      </c>
    </row>
    <row r="27" spans="1:47" ht="16.5" x14ac:dyDescent="0.3">
      <c r="A27" s="263" t="s">
        <v>12</v>
      </c>
      <c r="B27" s="694">
        <v>2487.6</v>
      </c>
      <c r="C27" s="376">
        <v>0</v>
      </c>
      <c r="D27" s="683">
        <v>2465</v>
      </c>
      <c r="E27" s="765">
        <v>0</v>
      </c>
      <c r="F27" s="764">
        <v>0</v>
      </c>
      <c r="G27" s="765">
        <v>46</v>
      </c>
      <c r="H27" s="764">
        <v>0</v>
      </c>
      <c r="I27" s="766">
        <v>0</v>
      </c>
      <c r="J27" s="767">
        <f>SUM(E27:I27)</f>
        <v>46</v>
      </c>
      <c r="K27" s="765">
        <v>0</v>
      </c>
      <c r="L27" s="782">
        <v>0</v>
      </c>
      <c r="M27" s="766">
        <v>0</v>
      </c>
      <c r="N27" s="770">
        <f>SUM(K27:M27)</f>
        <v>0</v>
      </c>
      <c r="O27" s="771">
        <f>+J27+N27</f>
        <v>46</v>
      </c>
      <c r="P27" s="286">
        <v>0</v>
      </c>
      <c r="Q27" s="58"/>
      <c r="R27" s="58"/>
      <c r="S27" s="293">
        <v>0</v>
      </c>
      <c r="T27" s="83">
        <v>0</v>
      </c>
      <c r="U27" s="293">
        <v>0</v>
      </c>
      <c r="V27" s="293">
        <v>0</v>
      </c>
      <c r="W27" s="293"/>
      <c r="X27" s="293"/>
      <c r="Y27" s="293"/>
      <c r="Z27" s="293"/>
      <c r="AA27" s="293">
        <v>5000</v>
      </c>
      <c r="AB27" s="293">
        <v>0</v>
      </c>
      <c r="AC27" s="1020">
        <f>SUM(P27:AB27)</f>
        <v>5000</v>
      </c>
      <c r="AD27" s="416">
        <f>+D27+AC27</f>
        <v>7465</v>
      </c>
      <c r="AE27" s="853"/>
      <c r="AF27" s="997">
        <f>AD27-D27</f>
        <v>5000</v>
      </c>
      <c r="AG27" s="998">
        <f>IF(D27=0,0,AF27/D27)</f>
        <v>2.028397565922921</v>
      </c>
      <c r="AH27" s="985">
        <f>AD27-B27</f>
        <v>4977.3999999999996</v>
      </c>
      <c r="AI27" s="706">
        <f t="shared" si="0"/>
        <v>2.000884386557324</v>
      </c>
      <c r="AQ27" s="207">
        <f>+AP27-AO27</f>
        <v>0</v>
      </c>
      <c r="AU27" s="95">
        <v>0</v>
      </c>
    </row>
    <row r="28" spans="1:47" ht="16.5" x14ac:dyDescent="0.3">
      <c r="A28" s="263" t="s">
        <v>13</v>
      </c>
      <c r="B28" s="694">
        <v>75662</v>
      </c>
      <c r="C28" s="376">
        <v>72338</v>
      </c>
      <c r="D28" s="683">
        <v>70420</v>
      </c>
      <c r="E28" s="765">
        <f>345+121</f>
        <v>466</v>
      </c>
      <c r="F28" s="764">
        <v>175</v>
      </c>
      <c r="G28" s="765">
        <v>641</v>
      </c>
      <c r="H28" s="764">
        <v>0</v>
      </c>
      <c r="I28" s="766">
        <v>0</v>
      </c>
      <c r="J28" s="767">
        <f>SUM(E28:I28)</f>
        <v>1282</v>
      </c>
      <c r="K28" s="765">
        <v>0</v>
      </c>
      <c r="L28" s="782">
        <v>0</v>
      </c>
      <c r="M28" s="766">
        <v>0</v>
      </c>
      <c r="N28" s="770">
        <f>SUM(K28:M28)</f>
        <v>0</v>
      </c>
      <c r="O28" s="771">
        <f>+J28+N28</f>
        <v>1282</v>
      </c>
      <c r="P28" s="286">
        <v>0</v>
      </c>
      <c r="Q28" s="58"/>
      <c r="R28" s="58"/>
      <c r="S28" s="293">
        <v>0</v>
      </c>
      <c r="T28" s="83">
        <v>0</v>
      </c>
      <c r="U28" s="293">
        <v>0</v>
      </c>
      <c r="V28" s="293">
        <v>0</v>
      </c>
      <c r="W28" s="293"/>
      <c r="X28" s="293"/>
      <c r="Y28" s="293"/>
      <c r="Z28" s="293"/>
      <c r="AA28" s="293">
        <v>5000</v>
      </c>
      <c r="AB28" s="293">
        <v>0</v>
      </c>
      <c r="AC28" s="1020">
        <f>SUM(P28:AB28)</f>
        <v>5000</v>
      </c>
      <c r="AD28" s="416">
        <f>+D28+AC28</f>
        <v>75420</v>
      </c>
      <c r="AE28" s="853"/>
      <c r="AF28" s="997">
        <f>AD28-D28</f>
        <v>5000</v>
      </c>
      <c r="AG28" s="998">
        <f>IF(D28=0,0,AF28/D28)</f>
        <v>7.1002556092019317E-2</v>
      </c>
      <c r="AH28" s="985">
        <f>AD28-B28</f>
        <v>-242</v>
      </c>
      <c r="AI28" s="706">
        <f t="shared" si="0"/>
        <v>-3.1984351457799158E-3</v>
      </c>
      <c r="AQ28" s="207"/>
      <c r="AU28" s="95">
        <v>4672306</v>
      </c>
    </row>
    <row r="29" spans="1:47" ht="16.5" x14ac:dyDescent="0.3">
      <c r="A29" s="263" t="s">
        <v>30</v>
      </c>
      <c r="B29" s="694">
        <v>5825</v>
      </c>
      <c r="C29" s="376">
        <v>4735</v>
      </c>
      <c r="D29" s="683">
        <v>5786</v>
      </c>
      <c r="E29" s="765">
        <f>15+5</f>
        <v>20</v>
      </c>
      <c r="F29" s="764">
        <v>0</v>
      </c>
      <c r="G29" s="765">
        <v>82</v>
      </c>
      <c r="H29" s="764">
        <v>0</v>
      </c>
      <c r="I29" s="766">
        <v>0</v>
      </c>
      <c r="J29" s="767">
        <f>SUM(E29:I29)</f>
        <v>102</v>
      </c>
      <c r="K29" s="765">
        <v>0</v>
      </c>
      <c r="L29" s="782">
        <v>0</v>
      </c>
      <c r="M29" s="766">
        <v>0</v>
      </c>
      <c r="N29" s="770">
        <f>SUM(K29:M29)</f>
        <v>0</v>
      </c>
      <c r="O29" s="771">
        <f>+J29+N29</f>
        <v>102</v>
      </c>
      <c r="P29" s="286">
        <v>0</v>
      </c>
      <c r="Q29" s="58"/>
      <c r="R29" s="58"/>
      <c r="S29" s="293">
        <v>0</v>
      </c>
      <c r="T29" s="83">
        <v>0</v>
      </c>
      <c r="U29" s="293">
        <v>0</v>
      </c>
      <c r="V29" s="293">
        <v>0</v>
      </c>
      <c r="W29" s="293"/>
      <c r="X29" s="293"/>
      <c r="Y29" s="293"/>
      <c r="Z29" s="293"/>
      <c r="AA29" s="293">
        <v>5000</v>
      </c>
      <c r="AB29" s="293">
        <v>0</v>
      </c>
      <c r="AC29" s="1020">
        <f>SUM(P29:AB29)</f>
        <v>5000</v>
      </c>
      <c r="AD29" s="416">
        <f>+D29+AC29</f>
        <v>10786</v>
      </c>
      <c r="AE29" s="853"/>
      <c r="AF29" s="997">
        <f>AD29-D29</f>
        <v>5000</v>
      </c>
      <c r="AG29" s="998">
        <f>IF(D29=0,0,AF29/D29)</f>
        <v>0.86415485655029378</v>
      </c>
      <c r="AH29" s="985">
        <f>AD29-B29</f>
        <v>4961</v>
      </c>
      <c r="AI29" s="706">
        <f t="shared" si="0"/>
        <v>0.85167381974248924</v>
      </c>
      <c r="AQ29" s="207">
        <f>+AP29-AO29</f>
        <v>0</v>
      </c>
      <c r="AU29" s="95">
        <v>0</v>
      </c>
    </row>
    <row r="30" spans="1:47" ht="16.5" x14ac:dyDescent="0.3">
      <c r="A30" s="18" t="s">
        <v>22</v>
      </c>
      <c r="B30" s="696">
        <f>SUM(B25:B29)</f>
        <v>213731.6</v>
      </c>
      <c r="C30" s="375">
        <f t="shared" ref="C30:AD30" si="5">SUM(C25:C29)</f>
        <v>165156</v>
      </c>
      <c r="D30" s="423">
        <f t="shared" si="5"/>
        <v>175694</v>
      </c>
      <c r="E30" s="783">
        <f t="shared" si="5"/>
        <v>525</v>
      </c>
      <c r="F30" s="784">
        <f t="shared" si="5"/>
        <v>419</v>
      </c>
      <c r="G30" s="783">
        <f t="shared" si="5"/>
        <v>1819</v>
      </c>
      <c r="H30" s="784">
        <f t="shared" si="5"/>
        <v>1470</v>
      </c>
      <c r="I30" s="785">
        <f t="shared" si="5"/>
        <v>785</v>
      </c>
      <c r="J30" s="786">
        <f t="shared" si="5"/>
        <v>5018</v>
      </c>
      <c r="K30" s="783">
        <f t="shared" si="5"/>
        <v>0</v>
      </c>
      <c r="L30" s="787">
        <f t="shared" si="5"/>
        <v>0</v>
      </c>
      <c r="M30" s="785">
        <f t="shared" si="5"/>
        <v>0</v>
      </c>
      <c r="N30" s="788">
        <f t="shared" si="5"/>
        <v>0</v>
      </c>
      <c r="O30" s="789">
        <f t="shared" si="5"/>
        <v>5018</v>
      </c>
      <c r="P30" s="288">
        <f t="shared" si="5"/>
        <v>0</v>
      </c>
      <c r="Q30" s="288">
        <f t="shared" si="5"/>
        <v>0</v>
      </c>
      <c r="R30" s="288">
        <f t="shared" si="5"/>
        <v>0</v>
      </c>
      <c r="S30" s="295">
        <f t="shared" si="5"/>
        <v>0</v>
      </c>
      <c r="T30" s="932">
        <f>SUM(T25:T29)</f>
        <v>0</v>
      </c>
      <c r="U30" s="295">
        <f t="shared" ref="U30:AB30" si="6">SUM(U25:U29)</f>
        <v>0</v>
      </c>
      <c r="V30" s="295">
        <f t="shared" si="6"/>
        <v>25000</v>
      </c>
      <c r="W30" s="295">
        <f t="shared" ref="W30:X30" si="7">SUM(W25:W29)</f>
        <v>0</v>
      </c>
      <c r="X30" s="295">
        <f t="shared" si="7"/>
        <v>0</v>
      </c>
      <c r="Y30" s="295">
        <f t="shared" ref="Y30" si="8">SUM(Y25:Y29)</f>
        <v>0</v>
      </c>
      <c r="Z30" s="295">
        <f t="shared" ref="Z30:AA30" si="9">SUM(Z25:Z29)</f>
        <v>5000</v>
      </c>
      <c r="AA30" s="295">
        <f t="shared" si="9"/>
        <v>35000</v>
      </c>
      <c r="AB30" s="295">
        <f t="shared" si="6"/>
        <v>0</v>
      </c>
      <c r="AC30" s="1022">
        <f t="shared" si="5"/>
        <v>65000</v>
      </c>
      <c r="AD30" s="417">
        <f t="shared" si="5"/>
        <v>240694</v>
      </c>
      <c r="AE30" s="853"/>
      <c r="AF30" s="999">
        <f>SUM(AF25:AF29)</f>
        <v>65000</v>
      </c>
      <c r="AG30" s="1002">
        <f>IF(B30=0,0,AF30/B30)</f>
        <v>0.30411974644834922</v>
      </c>
      <c r="AH30" s="987">
        <f>SUM(AH25:AH29)</f>
        <v>26962.400000000001</v>
      </c>
      <c r="AI30" s="708">
        <f t="shared" si="0"/>
        <v>0.12615074233290727</v>
      </c>
      <c r="AQ30" s="238">
        <f>SUM(AQ25:AQ29)</f>
        <v>0</v>
      </c>
      <c r="AU30" s="97">
        <f>SUM(AU25:AU29)</f>
        <v>4672306</v>
      </c>
    </row>
    <row r="31" spans="1:47" ht="16.5" x14ac:dyDescent="0.3">
      <c r="A31" s="19" t="s">
        <v>20</v>
      </c>
      <c r="B31" s="697">
        <f>SUM(B30+B24+B19)</f>
        <v>4772475.5999999996</v>
      </c>
      <c r="C31" s="370">
        <f t="shared" ref="C31:K31" si="10">+C19+C24+C30</f>
        <v>3574365</v>
      </c>
      <c r="D31" s="424">
        <f t="shared" si="10"/>
        <v>3694462</v>
      </c>
      <c r="E31" s="790">
        <f t="shared" si="10"/>
        <v>8820</v>
      </c>
      <c r="F31" s="791">
        <f t="shared" si="10"/>
        <v>14723</v>
      </c>
      <c r="G31" s="792">
        <f t="shared" si="10"/>
        <v>4380</v>
      </c>
      <c r="H31" s="791">
        <f t="shared" si="10"/>
        <v>73522</v>
      </c>
      <c r="I31" s="793">
        <f t="shared" si="10"/>
        <v>65168</v>
      </c>
      <c r="J31" s="794">
        <f t="shared" si="10"/>
        <v>166613</v>
      </c>
      <c r="K31" s="790">
        <f t="shared" si="10"/>
        <v>75000</v>
      </c>
      <c r="L31" s="795">
        <f>+L19+L24+L30</f>
        <v>0</v>
      </c>
      <c r="M31" s="796">
        <f t="shared" ref="M31:AD31" si="11">+M19+M24+M30</f>
        <v>0</v>
      </c>
      <c r="N31" s="797">
        <f t="shared" si="11"/>
        <v>75000</v>
      </c>
      <c r="O31" s="798">
        <f t="shared" si="11"/>
        <v>241613</v>
      </c>
      <c r="P31" s="289">
        <f t="shared" si="11"/>
        <v>101000</v>
      </c>
      <c r="Q31" s="289">
        <f t="shared" si="11"/>
        <v>5000</v>
      </c>
      <c r="R31" s="269">
        <f t="shared" si="11"/>
        <v>702400</v>
      </c>
      <c r="S31" s="296">
        <f t="shared" si="11"/>
        <v>5000</v>
      </c>
      <c r="T31" s="933">
        <f>+T19+T24+T30</f>
        <v>0</v>
      </c>
      <c r="U31" s="296">
        <f t="shared" ref="U31:AB31" si="12">+U19+U24+U30</f>
        <v>0</v>
      </c>
      <c r="V31" s="296">
        <f t="shared" si="12"/>
        <v>25000</v>
      </c>
      <c r="W31" s="296">
        <f t="shared" ref="W31:X31" si="13">+W19+W24+W30</f>
        <v>0</v>
      </c>
      <c r="X31" s="296">
        <f t="shared" si="13"/>
        <v>0</v>
      </c>
      <c r="Y31" s="296">
        <f t="shared" ref="Y31" si="14">+Y19+Y24+Y30</f>
        <v>20000</v>
      </c>
      <c r="Z31" s="296">
        <f t="shared" ref="Z31:AA31" si="15">+Z19+Z24+Z30</f>
        <v>5000</v>
      </c>
      <c r="AA31" s="296">
        <f t="shared" si="15"/>
        <v>244959</v>
      </c>
      <c r="AB31" s="296">
        <f t="shared" si="12"/>
        <v>0</v>
      </c>
      <c r="AC31" s="1023">
        <f t="shared" si="11"/>
        <v>1108359</v>
      </c>
      <c r="AD31" s="418">
        <f t="shared" si="11"/>
        <v>4802821</v>
      </c>
      <c r="AE31" s="853"/>
      <c r="AF31" s="1003">
        <f>+AF19+AF24+AF30</f>
        <v>1108359</v>
      </c>
      <c r="AG31" s="1004">
        <f>IF(B31=0,0,AF31/B31)</f>
        <v>0.23223984633886868</v>
      </c>
      <c r="AH31" s="988">
        <f>SUM(AH30+AH24+AH19)</f>
        <v>30345.4</v>
      </c>
      <c r="AI31" s="709">
        <f t="shared" si="0"/>
        <v>6.358419098046306E-3</v>
      </c>
      <c r="AQ31" s="260">
        <f>+AQ19+AQ24+AQ30</f>
        <v>0</v>
      </c>
      <c r="AU31" s="98">
        <f>+AU19+AU24+AU30</f>
        <v>495081961</v>
      </c>
    </row>
    <row r="32" spans="1:47" ht="16.5" x14ac:dyDescent="0.3">
      <c r="A32" s="16"/>
      <c r="B32" s="698"/>
      <c r="C32" s="376"/>
      <c r="D32" s="425"/>
      <c r="E32" s="799"/>
      <c r="F32" s="800"/>
      <c r="G32" s="801"/>
      <c r="H32" s="764"/>
      <c r="I32" s="802"/>
      <c r="J32" s="767"/>
      <c r="K32" s="765"/>
      <c r="L32" s="782"/>
      <c r="M32" s="766"/>
      <c r="N32" s="770"/>
      <c r="O32" s="771"/>
      <c r="P32" s="286"/>
      <c r="Q32" s="58"/>
      <c r="R32" s="58"/>
      <c r="S32" s="293"/>
      <c r="T32" s="58"/>
      <c r="U32" s="207"/>
      <c r="V32" s="207"/>
      <c r="W32" s="207"/>
      <c r="X32" s="207"/>
      <c r="Y32" s="207"/>
      <c r="Z32" s="207"/>
      <c r="AA32" s="207"/>
      <c r="AB32" s="207"/>
      <c r="AC32" s="1020"/>
      <c r="AD32" s="416"/>
      <c r="AE32" s="853"/>
      <c r="AF32" s="1005"/>
      <c r="AG32" s="998"/>
      <c r="AH32" s="985"/>
      <c r="AI32" s="706"/>
      <c r="AQ32" s="207"/>
      <c r="AU32" s="95"/>
    </row>
    <row r="33" spans="1:47" ht="16.5" x14ac:dyDescent="0.3">
      <c r="A33" s="973" t="s">
        <v>18</v>
      </c>
      <c r="B33" s="698"/>
      <c r="C33" s="376"/>
      <c r="D33" s="425"/>
      <c r="E33" s="765"/>
      <c r="F33" s="822"/>
      <c r="G33" s="801"/>
      <c r="H33" s="764"/>
      <c r="I33" s="802"/>
      <c r="J33" s="767"/>
      <c r="K33" s="765"/>
      <c r="L33" s="782"/>
      <c r="M33" s="766"/>
      <c r="N33" s="770"/>
      <c r="O33" s="771"/>
      <c r="P33" s="286"/>
      <c r="Q33" s="58"/>
      <c r="R33" s="58"/>
      <c r="S33" s="293"/>
      <c r="T33" s="58"/>
      <c r="U33" s="207"/>
      <c r="V33" s="207"/>
      <c r="W33" s="207"/>
      <c r="X33" s="207"/>
      <c r="Y33" s="207"/>
      <c r="Z33" s="207"/>
      <c r="AA33" s="207"/>
      <c r="AB33" s="207"/>
      <c r="AC33" s="1020"/>
      <c r="AD33" s="419"/>
      <c r="AE33" s="853"/>
      <c r="AF33" s="1006"/>
      <c r="AG33" s="998"/>
      <c r="AH33" s="985"/>
      <c r="AI33" s="706"/>
      <c r="AQ33" s="207"/>
      <c r="AU33" s="95"/>
    </row>
    <row r="34" spans="1:47" ht="16.5" x14ac:dyDescent="0.3">
      <c r="A34" s="16" t="s">
        <v>15</v>
      </c>
      <c r="B34" s="698">
        <v>106426</v>
      </c>
      <c r="C34" s="376">
        <v>60000</v>
      </c>
      <c r="D34" s="425">
        <v>75745</v>
      </c>
      <c r="E34" s="763">
        <v>0</v>
      </c>
      <c r="F34" s="764">
        <v>0</v>
      </c>
      <c r="G34" s="765">
        <v>1872</v>
      </c>
      <c r="H34" s="764">
        <v>0</v>
      </c>
      <c r="I34" s="766">
        <v>1604</v>
      </c>
      <c r="J34" s="767">
        <f>SUM(E34:I34)</f>
        <v>3476</v>
      </c>
      <c r="K34" s="765">
        <v>0</v>
      </c>
      <c r="L34" s="782">
        <v>0</v>
      </c>
      <c r="M34" s="766">
        <v>0</v>
      </c>
      <c r="N34" s="770">
        <f>SUM(K34:M34)</f>
        <v>0</v>
      </c>
      <c r="O34" s="771">
        <f>+J34+N34</f>
        <v>3476</v>
      </c>
      <c r="P34" s="286">
        <v>0</v>
      </c>
      <c r="Q34" s="58"/>
      <c r="R34" s="58"/>
      <c r="S34" s="293">
        <v>0</v>
      </c>
      <c r="T34" s="58">
        <v>0</v>
      </c>
      <c r="U34" s="293">
        <v>0</v>
      </c>
      <c r="V34" s="293">
        <v>0</v>
      </c>
      <c r="W34" s="293"/>
      <c r="X34" s="293">
        <v>75000</v>
      </c>
      <c r="Y34" s="293"/>
      <c r="Z34" s="293"/>
      <c r="AA34" s="293">
        <v>10000</v>
      </c>
      <c r="AB34" s="293">
        <v>0</v>
      </c>
      <c r="AC34" s="1020">
        <f>SUM(P34:AB34)</f>
        <v>85000</v>
      </c>
      <c r="AD34" s="416">
        <f>+D34+AC34</f>
        <v>160745</v>
      </c>
      <c r="AE34" s="853"/>
      <c r="AF34" s="997">
        <f>AD34-D34</f>
        <v>85000</v>
      </c>
      <c r="AG34" s="998">
        <f>IF(D34=0,0,AF34/D34)</f>
        <v>1.1221862829229652</v>
      </c>
      <c r="AH34" s="985">
        <f>AD34-B34</f>
        <v>54319</v>
      </c>
      <c r="AI34" s="706">
        <f t="shared" ref="AI34:AI40" si="16">AH34/B34</f>
        <v>0.51039219739537334</v>
      </c>
      <c r="AQ34" s="207"/>
      <c r="AU34" s="95"/>
    </row>
    <row r="35" spans="1:47" ht="16.5" x14ac:dyDescent="0.3">
      <c r="A35" s="16" t="s">
        <v>31</v>
      </c>
      <c r="B35" s="698">
        <v>147276</v>
      </c>
      <c r="C35" s="376">
        <v>75423</v>
      </c>
      <c r="D35" s="425">
        <v>101772</v>
      </c>
      <c r="E35" s="763">
        <v>0</v>
      </c>
      <c r="F35" s="764">
        <v>0</v>
      </c>
      <c r="G35" s="765">
        <v>2349</v>
      </c>
      <c r="H35" s="764">
        <v>0</v>
      </c>
      <c r="I35" s="766">
        <v>2072</v>
      </c>
      <c r="J35" s="767">
        <f>SUM(E35:I35)</f>
        <v>4421</v>
      </c>
      <c r="K35" s="765">
        <v>0</v>
      </c>
      <c r="L35" s="782">
        <v>0</v>
      </c>
      <c r="M35" s="766">
        <v>0</v>
      </c>
      <c r="N35" s="770">
        <f>SUM(K35:M35)</f>
        <v>0</v>
      </c>
      <c r="O35" s="771">
        <f>+J35+N35</f>
        <v>4421</v>
      </c>
      <c r="P35" s="286">
        <v>0</v>
      </c>
      <c r="Q35" s="58"/>
      <c r="R35" s="58"/>
      <c r="S35" s="293">
        <v>0</v>
      </c>
      <c r="T35" s="58">
        <v>55000</v>
      </c>
      <c r="U35" s="293">
        <v>0</v>
      </c>
      <c r="V35" s="293">
        <v>0</v>
      </c>
      <c r="W35" s="293"/>
      <c r="X35" s="293"/>
      <c r="Y35" s="293"/>
      <c r="Z35" s="293"/>
      <c r="AA35" s="293">
        <v>20000</v>
      </c>
      <c r="AB35" s="293">
        <v>0</v>
      </c>
      <c r="AC35" s="1020">
        <f>SUM(P35:AB35)</f>
        <v>75000</v>
      </c>
      <c r="AD35" s="416">
        <f>+D35+AC35</f>
        <v>176772</v>
      </c>
      <c r="AE35" s="853"/>
      <c r="AF35" s="997">
        <f>AD35-D35</f>
        <v>75000</v>
      </c>
      <c r="AG35" s="998">
        <f>IF(D35=0,0,AF35/D35)</f>
        <v>0.73694139841999762</v>
      </c>
      <c r="AH35" s="985">
        <f>AD35-B35</f>
        <v>29496</v>
      </c>
      <c r="AI35" s="706">
        <f t="shared" si="16"/>
        <v>0.20027703088079524</v>
      </c>
      <c r="AQ35" s="207"/>
      <c r="AU35" s="95"/>
    </row>
    <row r="36" spans="1:47" ht="16.5" x14ac:dyDescent="0.3">
      <c r="A36" s="16" t="s">
        <v>32</v>
      </c>
      <c r="B36" s="698">
        <v>249470</v>
      </c>
      <c r="C36" s="376">
        <v>100000</v>
      </c>
      <c r="D36" s="425">
        <v>117991</v>
      </c>
      <c r="E36" s="763">
        <v>0</v>
      </c>
      <c r="F36" s="764">
        <v>0</v>
      </c>
      <c r="G36" s="765">
        <v>3886</v>
      </c>
      <c r="H36" s="764">
        <v>0</v>
      </c>
      <c r="I36" s="766">
        <v>0</v>
      </c>
      <c r="J36" s="767">
        <f>SUM(E36:I36)</f>
        <v>3886</v>
      </c>
      <c r="K36" s="765">
        <v>0</v>
      </c>
      <c r="L36" s="782">
        <v>0</v>
      </c>
      <c r="M36" s="766">
        <v>100000</v>
      </c>
      <c r="N36" s="770">
        <f>SUM(K36:M36)</f>
        <v>100000</v>
      </c>
      <c r="O36" s="771">
        <f>+J36+N36</f>
        <v>103886</v>
      </c>
      <c r="P36" s="286">
        <v>0</v>
      </c>
      <c r="Q36" s="58"/>
      <c r="R36" s="58"/>
      <c r="S36" s="293">
        <v>0</v>
      </c>
      <c r="T36" s="58">
        <v>0</v>
      </c>
      <c r="U36" s="293">
        <v>200000</v>
      </c>
      <c r="V36" s="293">
        <v>0</v>
      </c>
      <c r="W36" s="293"/>
      <c r="X36" s="293"/>
      <c r="Y36" s="293"/>
      <c r="Z36" s="293"/>
      <c r="AA36" s="293">
        <v>10000</v>
      </c>
      <c r="AB36" s="293">
        <v>0</v>
      </c>
      <c r="AC36" s="1020">
        <f>SUM(P36:AB36)</f>
        <v>210000</v>
      </c>
      <c r="AD36" s="416">
        <f>+D36+AC36</f>
        <v>327991</v>
      </c>
      <c r="AE36" s="853"/>
      <c r="AF36" s="997">
        <f>AD36-D36</f>
        <v>210000</v>
      </c>
      <c r="AG36" s="998">
        <f>IF(D36=0,0,AF36/D36)</f>
        <v>1.7797967641599783</v>
      </c>
      <c r="AH36" s="985">
        <f>AD36-B36</f>
        <v>78521</v>
      </c>
      <c r="AI36" s="706">
        <f t="shared" si="16"/>
        <v>0.31475127269812003</v>
      </c>
      <c r="AQ36" s="207"/>
      <c r="AU36" s="95"/>
    </row>
    <row r="37" spans="1:47" ht="16.5" x14ac:dyDescent="0.3">
      <c r="A37" s="16" t="s">
        <v>33</v>
      </c>
      <c r="B37" s="698">
        <v>244296</v>
      </c>
      <c r="C37" s="376">
        <v>192022</v>
      </c>
      <c r="D37" s="425">
        <v>226950</v>
      </c>
      <c r="E37" s="763">
        <f>975+338</f>
        <v>1313</v>
      </c>
      <c r="F37" s="764">
        <v>1127</v>
      </c>
      <c r="G37" s="765">
        <v>1910</v>
      </c>
      <c r="H37" s="764">
        <v>1012</v>
      </c>
      <c r="I37" s="766">
        <v>4084</v>
      </c>
      <c r="J37" s="767">
        <f>SUM(E37:I37)</f>
        <v>9446</v>
      </c>
      <c r="K37" s="768">
        <v>0</v>
      </c>
      <c r="L37" s="769">
        <v>0</v>
      </c>
      <c r="M37" s="766">
        <v>0</v>
      </c>
      <c r="N37" s="770">
        <f>SUM(K37:M37)</f>
        <v>0</v>
      </c>
      <c r="O37" s="771">
        <f>+J37+N37</f>
        <v>9446</v>
      </c>
      <c r="P37" s="286">
        <v>0</v>
      </c>
      <c r="Q37" s="58"/>
      <c r="R37" s="58"/>
      <c r="S37" s="293">
        <v>0</v>
      </c>
      <c r="T37" s="58">
        <v>0</v>
      </c>
      <c r="U37" s="293">
        <v>0</v>
      </c>
      <c r="V37" s="293">
        <v>0</v>
      </c>
      <c r="W37" s="293"/>
      <c r="X37" s="293"/>
      <c r="Y37" s="293"/>
      <c r="Z37" s="293"/>
      <c r="AA37" s="293">
        <v>30000</v>
      </c>
      <c r="AB37" s="293">
        <v>0</v>
      </c>
      <c r="AC37" s="1020">
        <f>SUM(P37:AB37)</f>
        <v>30000</v>
      </c>
      <c r="AD37" s="416">
        <f>+D37+AC37</f>
        <v>256950</v>
      </c>
      <c r="AE37" s="853"/>
      <c r="AF37" s="997">
        <f>AD37-D37</f>
        <v>30000</v>
      </c>
      <c r="AG37" s="998">
        <f>IF(D37=0,0,AF37/D37)</f>
        <v>0.13218770654329148</v>
      </c>
      <c r="AH37" s="985">
        <f>AD37-B37</f>
        <v>12654</v>
      </c>
      <c r="AI37" s="706">
        <f t="shared" si="16"/>
        <v>5.1797819039198348E-2</v>
      </c>
      <c r="AQ37" s="207"/>
      <c r="AU37" s="95">
        <v>0</v>
      </c>
    </row>
    <row r="38" spans="1:47" ht="16.5" x14ac:dyDescent="0.3">
      <c r="A38" s="16" t="s">
        <v>16</v>
      </c>
      <c r="B38" s="698">
        <v>56180</v>
      </c>
      <c r="C38" s="376">
        <v>19511</v>
      </c>
      <c r="D38" s="425">
        <v>22966</v>
      </c>
      <c r="E38" s="763">
        <v>0</v>
      </c>
      <c r="F38" s="764">
        <v>0</v>
      </c>
      <c r="G38" s="765">
        <v>33</v>
      </c>
      <c r="H38" s="823">
        <v>825</v>
      </c>
      <c r="I38" s="766">
        <v>424</v>
      </c>
      <c r="J38" s="767">
        <f>SUM(E38:I38)</f>
        <v>1282</v>
      </c>
      <c r="K38" s="765">
        <v>0</v>
      </c>
      <c r="L38" s="782">
        <v>0</v>
      </c>
      <c r="M38" s="766">
        <v>0</v>
      </c>
      <c r="N38" s="770">
        <f>SUM(K38:M38)</f>
        <v>0</v>
      </c>
      <c r="O38" s="771">
        <f>+J38+N38</f>
        <v>1282</v>
      </c>
      <c r="P38" s="286">
        <v>0</v>
      </c>
      <c r="Q38" s="58"/>
      <c r="R38" s="58"/>
      <c r="S38" s="293">
        <v>0</v>
      </c>
      <c r="T38" s="58">
        <v>0</v>
      </c>
      <c r="U38" s="938">
        <v>0</v>
      </c>
      <c r="V38" s="938">
        <v>0</v>
      </c>
      <c r="W38" s="938">
        <v>8000</v>
      </c>
      <c r="X38" s="938"/>
      <c r="Y38" s="938"/>
      <c r="Z38" s="938"/>
      <c r="AA38" s="938">
        <v>10000</v>
      </c>
      <c r="AB38" s="938">
        <v>0</v>
      </c>
      <c r="AC38" s="1020">
        <f>SUM(P38:AB38)</f>
        <v>18000</v>
      </c>
      <c r="AD38" s="416">
        <f>+D38+AC38</f>
        <v>40966</v>
      </c>
      <c r="AE38" s="853"/>
      <c r="AF38" s="997">
        <f>AD38-D38</f>
        <v>18000</v>
      </c>
      <c r="AG38" s="998">
        <f>IF(D38=0,0,AF38/D38)</f>
        <v>0.78376730819472262</v>
      </c>
      <c r="AH38" s="985">
        <f>AD38-B38</f>
        <v>-15214</v>
      </c>
      <c r="AI38" s="706">
        <f t="shared" si="16"/>
        <v>-0.27080811676753291</v>
      </c>
      <c r="AQ38" s="207"/>
      <c r="AU38" s="95">
        <v>0</v>
      </c>
    </row>
    <row r="39" spans="1:47" ht="16.5" x14ac:dyDescent="0.3">
      <c r="A39" s="19" t="s">
        <v>19</v>
      </c>
      <c r="B39" s="697">
        <f t="shared" ref="B39:AD39" si="17">SUM(B34:B38)</f>
        <v>803648</v>
      </c>
      <c r="C39" s="370">
        <f t="shared" si="17"/>
        <v>446956</v>
      </c>
      <c r="D39" s="687">
        <f t="shared" si="17"/>
        <v>545424</v>
      </c>
      <c r="E39" s="790">
        <f t="shared" si="17"/>
        <v>1313</v>
      </c>
      <c r="F39" s="791">
        <f t="shared" si="17"/>
        <v>1127</v>
      </c>
      <c r="G39" s="792">
        <f t="shared" si="17"/>
        <v>10050</v>
      </c>
      <c r="H39" s="824">
        <f t="shared" si="17"/>
        <v>1837</v>
      </c>
      <c r="I39" s="793">
        <f t="shared" si="17"/>
        <v>8184</v>
      </c>
      <c r="J39" s="794">
        <f t="shared" si="17"/>
        <v>22511</v>
      </c>
      <c r="K39" s="790">
        <f t="shared" si="17"/>
        <v>0</v>
      </c>
      <c r="L39" s="795">
        <f>SUM(L34:L38)</f>
        <v>0</v>
      </c>
      <c r="M39" s="796">
        <f t="shared" si="17"/>
        <v>100000</v>
      </c>
      <c r="N39" s="797">
        <f t="shared" si="17"/>
        <v>100000</v>
      </c>
      <c r="O39" s="798">
        <f t="shared" si="17"/>
        <v>122511</v>
      </c>
      <c r="P39" s="289">
        <f t="shared" si="17"/>
        <v>0</v>
      </c>
      <c r="Q39" s="289">
        <f t="shared" si="17"/>
        <v>0</v>
      </c>
      <c r="R39" s="289">
        <f t="shared" si="17"/>
        <v>0</v>
      </c>
      <c r="S39" s="296">
        <f t="shared" si="17"/>
        <v>0</v>
      </c>
      <c r="T39" s="269">
        <f t="shared" si="17"/>
        <v>55000</v>
      </c>
      <c r="U39" s="269">
        <f t="shared" si="17"/>
        <v>200000</v>
      </c>
      <c r="V39" s="269">
        <f t="shared" si="17"/>
        <v>0</v>
      </c>
      <c r="W39" s="269">
        <f t="shared" si="17"/>
        <v>8000</v>
      </c>
      <c r="X39" s="269">
        <f t="shared" si="17"/>
        <v>75000</v>
      </c>
      <c r="Y39" s="269">
        <f t="shared" ref="Y39" si="18">SUM(Y34:Y38)</f>
        <v>0</v>
      </c>
      <c r="Z39" s="269">
        <f t="shared" ref="Z39:AA39" si="19">SUM(Z34:Z38)</f>
        <v>0</v>
      </c>
      <c r="AA39" s="269">
        <f t="shared" si="19"/>
        <v>80000</v>
      </c>
      <c r="AB39" s="269">
        <f t="shared" si="17"/>
        <v>0</v>
      </c>
      <c r="AC39" s="1023">
        <f t="shared" si="17"/>
        <v>418000</v>
      </c>
      <c r="AD39" s="418">
        <f t="shared" si="17"/>
        <v>963424</v>
      </c>
      <c r="AE39" s="853"/>
      <c r="AF39" s="1007">
        <f>SUM(AF34:AF38)</f>
        <v>418000</v>
      </c>
      <c r="AG39" s="1004">
        <f>IF(B39=0,0,AF39/B39)</f>
        <v>0.52012821533805842</v>
      </c>
      <c r="AH39" s="988">
        <f>SUM(AH34:AH38)</f>
        <v>159776</v>
      </c>
      <c r="AI39" s="709">
        <f t="shared" si="16"/>
        <v>0.19881341084653978</v>
      </c>
      <c r="AQ39" s="207"/>
      <c r="AU39" s="95">
        <v>0</v>
      </c>
    </row>
    <row r="40" spans="1:47" ht="17.25" thickBot="1" x14ac:dyDescent="0.35">
      <c r="A40" s="21" t="s">
        <v>23</v>
      </c>
      <c r="B40" s="700">
        <f>SUM(B39+B31)</f>
        <v>5576123.5999999996</v>
      </c>
      <c r="C40" s="309">
        <f>+C31+C39</f>
        <v>4021321</v>
      </c>
      <c r="D40" s="427">
        <f>+D31+D39</f>
        <v>4239886</v>
      </c>
      <c r="E40" s="825">
        <f>++E31+E351+E39</f>
        <v>10133</v>
      </c>
      <c r="F40" s="826">
        <f>+F31+F39</f>
        <v>15850</v>
      </c>
      <c r="G40" s="827">
        <f>G31+G39</f>
        <v>14430</v>
      </c>
      <c r="H40" s="828">
        <f>+H31+H39</f>
        <v>75359</v>
      </c>
      <c r="I40" s="829">
        <f>+I31+I39</f>
        <v>73352</v>
      </c>
      <c r="J40" s="830">
        <f>+J31+J39</f>
        <v>189124</v>
      </c>
      <c r="K40" s="825">
        <f>+K31+K44+K39</f>
        <v>75000</v>
      </c>
      <c r="L40" s="831">
        <f>+L31+L44+L39</f>
        <v>100000</v>
      </c>
      <c r="M40" s="832">
        <f>+M31++M44+M39</f>
        <v>100000</v>
      </c>
      <c r="N40" s="833">
        <f>+N31+N44+N39</f>
        <v>275000</v>
      </c>
      <c r="O40" s="834">
        <f>+O31+O44+O39</f>
        <v>464124</v>
      </c>
      <c r="P40" s="970">
        <f t="shared" ref="P40:AB40" si="20">+P31+P39</f>
        <v>101000</v>
      </c>
      <c r="Q40" s="970">
        <f t="shared" si="20"/>
        <v>5000</v>
      </c>
      <c r="R40" s="971">
        <f t="shared" si="20"/>
        <v>702400</v>
      </c>
      <c r="S40" s="971">
        <f t="shared" si="20"/>
        <v>5000</v>
      </c>
      <c r="T40" s="971">
        <f t="shared" si="20"/>
        <v>55000</v>
      </c>
      <c r="U40" s="971">
        <f t="shared" si="20"/>
        <v>200000</v>
      </c>
      <c r="V40" s="971">
        <f t="shared" si="20"/>
        <v>25000</v>
      </c>
      <c r="W40" s="971">
        <f t="shared" si="20"/>
        <v>8000</v>
      </c>
      <c r="X40" s="971">
        <f t="shared" si="20"/>
        <v>75000</v>
      </c>
      <c r="Y40" s="971">
        <f t="shared" ref="Y40" si="21">+Y31+Y39</f>
        <v>20000</v>
      </c>
      <c r="Z40" s="971">
        <f t="shared" ref="Z40:AA40" si="22">+Z31+Z39</f>
        <v>5000</v>
      </c>
      <c r="AA40" s="971">
        <f t="shared" si="22"/>
        <v>324959</v>
      </c>
      <c r="AB40" s="971">
        <f t="shared" si="20"/>
        <v>0</v>
      </c>
      <c r="AC40" s="1024">
        <f>+AC31+AC44+AC39</f>
        <v>1526359</v>
      </c>
      <c r="AD40" s="420">
        <f>+AD31+AD39</f>
        <v>5766245</v>
      </c>
      <c r="AE40" s="853"/>
      <c r="AF40" s="1008">
        <f>+AF31+AF39</f>
        <v>1526359</v>
      </c>
      <c r="AG40" s="1009">
        <f>IF(B40=0,0,AF40/B40)</f>
        <v>0.27373119921516809</v>
      </c>
      <c r="AH40" s="989">
        <f>SUM(AH39+AH31)</f>
        <v>190121.4</v>
      </c>
      <c r="AI40" s="710">
        <f t="shared" si="16"/>
        <v>3.4095621553295555E-2</v>
      </c>
      <c r="AQ40" s="207"/>
      <c r="AU40" s="95">
        <v>0</v>
      </c>
    </row>
    <row r="41" spans="1:47" ht="17.25" thickTop="1" x14ac:dyDescent="0.3">
      <c r="A41" s="961"/>
      <c r="B41" s="965"/>
      <c r="C41" s="962"/>
      <c r="D41" s="962"/>
      <c r="E41" s="962"/>
      <c r="F41" s="962"/>
      <c r="G41" s="963"/>
      <c r="H41" s="963"/>
      <c r="I41" s="963"/>
      <c r="J41" s="963"/>
      <c r="K41" s="962"/>
      <c r="L41" s="962"/>
      <c r="M41" s="962"/>
      <c r="N41" s="962"/>
      <c r="O41" s="962"/>
      <c r="P41" s="962"/>
      <c r="Q41" s="962"/>
      <c r="R41" s="962"/>
      <c r="S41" s="962"/>
      <c r="T41" s="962"/>
      <c r="U41" s="962"/>
      <c r="V41" s="962"/>
      <c r="W41" s="962"/>
      <c r="X41" s="962"/>
      <c r="Y41" s="962"/>
      <c r="Z41" s="962"/>
      <c r="AA41" s="962"/>
      <c r="AB41" s="962"/>
      <c r="AC41" s="1025"/>
      <c r="AD41" s="962"/>
      <c r="AE41" s="966"/>
      <c r="AF41" s="1010"/>
      <c r="AG41" s="1011"/>
      <c r="AH41" s="962"/>
      <c r="AI41" s="964"/>
      <c r="AQ41" s="207"/>
      <c r="AU41" s="95"/>
    </row>
    <row r="42" spans="1:47" ht="16.5" x14ac:dyDescent="0.3">
      <c r="A42" s="975" t="s">
        <v>99</v>
      </c>
      <c r="B42" s="699"/>
      <c r="C42" s="377"/>
      <c r="D42" s="684"/>
      <c r="E42" s="803"/>
      <c r="F42" s="804"/>
      <c r="G42" s="805"/>
      <c r="H42" s="804"/>
      <c r="I42" s="806"/>
      <c r="J42" s="807"/>
      <c r="K42" s="808"/>
      <c r="L42" s="809"/>
      <c r="M42" s="810"/>
      <c r="N42" s="807"/>
      <c r="O42" s="807"/>
      <c r="P42" s="360"/>
      <c r="Q42" s="359"/>
      <c r="R42" s="359"/>
      <c r="S42" s="361"/>
      <c r="T42" s="361"/>
      <c r="U42" s="355"/>
      <c r="V42" s="355"/>
      <c r="W42" s="355"/>
      <c r="X42" s="355"/>
      <c r="Y42" s="355"/>
      <c r="Z42" s="355"/>
      <c r="AA42" s="355"/>
      <c r="AB42" s="355"/>
      <c r="AC42" s="442"/>
      <c r="AD42" s="442"/>
      <c r="AE42" s="853"/>
      <c r="AF42" s="731"/>
      <c r="AG42" s="732"/>
      <c r="AH42" s="985"/>
      <c r="AI42" s="706"/>
      <c r="AQ42" s="207"/>
      <c r="AU42" s="95">
        <v>0</v>
      </c>
    </row>
    <row r="43" spans="1:47" ht="15.75" customHeight="1" x14ac:dyDescent="0.3">
      <c r="A43" s="263" t="s">
        <v>107</v>
      </c>
      <c r="B43" s="698">
        <v>817970</v>
      </c>
      <c r="C43" s="376">
        <v>717970</v>
      </c>
      <c r="D43" s="685">
        <v>800000</v>
      </c>
      <c r="E43" s="803">
        <v>0</v>
      </c>
      <c r="F43" s="811">
        <v>0</v>
      </c>
      <c r="G43" s="812">
        <v>0</v>
      </c>
      <c r="H43" s="811">
        <v>0</v>
      </c>
      <c r="I43" s="813">
        <v>0</v>
      </c>
      <c r="J43" s="767">
        <f>SUM(E43:I43)</f>
        <v>0</v>
      </c>
      <c r="K43" s="814">
        <f>F43+I43+J43</f>
        <v>0</v>
      </c>
      <c r="L43" s="782">
        <v>100000</v>
      </c>
      <c r="M43" s="815">
        <v>0</v>
      </c>
      <c r="N43" s="770">
        <f>SUM(K43:M43)</f>
        <v>100000</v>
      </c>
      <c r="O43" s="816">
        <f>+J43+N43</f>
        <v>100000</v>
      </c>
      <c r="P43" s="406">
        <v>0</v>
      </c>
      <c r="Q43" s="42"/>
      <c r="R43" s="42"/>
      <c r="S43" s="319">
        <v>0</v>
      </c>
      <c r="T43" s="319">
        <v>0</v>
      </c>
      <c r="U43" s="929">
        <v>0</v>
      </c>
      <c r="V43" s="929"/>
      <c r="W43" s="929"/>
      <c r="X43" s="929"/>
      <c r="Y43" s="929"/>
      <c r="Z43" s="929"/>
      <c r="AA43" s="929"/>
      <c r="AB43" s="929">
        <v>0</v>
      </c>
      <c r="AC43" s="1020">
        <f>SUM(P43:AB43)</f>
        <v>0</v>
      </c>
      <c r="AD43" s="416">
        <f>+D43+AC43</f>
        <v>800000</v>
      </c>
      <c r="AE43" s="853"/>
      <c r="AF43" s="997">
        <f>AD43-D43</f>
        <v>0</v>
      </c>
      <c r="AG43" s="998">
        <f>IF(D43=0,0,AF43/D43)</f>
        <v>0</v>
      </c>
      <c r="AH43" s="985">
        <f>AD43-B43</f>
        <v>-17970</v>
      </c>
      <c r="AI43" s="706">
        <f>AH43/B43</f>
        <v>-2.1969020868736016E-2</v>
      </c>
      <c r="AQ43" s="261">
        <f>SUM(AQ37:AQ42)</f>
        <v>0</v>
      </c>
      <c r="AU43" s="99">
        <f>SUM(AU37:AU42)</f>
        <v>0</v>
      </c>
    </row>
    <row r="44" spans="1:47" ht="24" customHeight="1" thickBot="1" x14ac:dyDescent="0.35">
      <c r="A44" s="969" t="s">
        <v>109</v>
      </c>
      <c r="B44" s="697">
        <f t="shared" ref="B44:AD44" si="23">SUM(B43:B43)</f>
        <v>817970</v>
      </c>
      <c r="C44" s="370">
        <f t="shared" si="23"/>
        <v>717970</v>
      </c>
      <c r="D44" s="686">
        <f t="shared" si="23"/>
        <v>800000</v>
      </c>
      <c r="E44" s="817">
        <f t="shared" si="23"/>
        <v>0</v>
      </c>
      <c r="F44" s="818">
        <f t="shared" si="23"/>
        <v>0</v>
      </c>
      <c r="G44" s="819">
        <f t="shared" si="23"/>
        <v>0</v>
      </c>
      <c r="H44" s="818">
        <f t="shared" si="23"/>
        <v>0</v>
      </c>
      <c r="I44" s="820">
        <f t="shared" si="23"/>
        <v>0</v>
      </c>
      <c r="J44" s="794">
        <f t="shared" si="23"/>
        <v>0</v>
      </c>
      <c r="K44" s="790">
        <f t="shared" si="23"/>
        <v>0</v>
      </c>
      <c r="L44" s="795">
        <f t="shared" si="23"/>
        <v>100000</v>
      </c>
      <c r="M44" s="796">
        <f t="shared" si="23"/>
        <v>0</v>
      </c>
      <c r="N44" s="797">
        <f t="shared" si="23"/>
        <v>100000</v>
      </c>
      <c r="O44" s="821">
        <f t="shared" si="23"/>
        <v>100000</v>
      </c>
      <c r="P44" s="367">
        <f t="shared" si="23"/>
        <v>0</v>
      </c>
      <c r="Q44" s="44"/>
      <c r="R44" s="44"/>
      <c r="S44" s="44">
        <f t="shared" si="23"/>
        <v>0</v>
      </c>
      <c r="T44" s="44">
        <f t="shared" si="23"/>
        <v>0</v>
      </c>
      <c r="U44" s="44">
        <f t="shared" ref="U44" si="24">SUM(U43:U43)</f>
        <v>0</v>
      </c>
      <c r="V44" s="44"/>
      <c r="W44" s="44"/>
      <c r="X44" s="44"/>
      <c r="Y44" s="44"/>
      <c r="Z44" s="44"/>
      <c r="AA44" s="44"/>
      <c r="AB44" s="44">
        <f t="shared" ref="AB44" si="25">SUM(AB43:AB43)</f>
        <v>0</v>
      </c>
      <c r="AC44" s="1023">
        <f t="shared" si="23"/>
        <v>0</v>
      </c>
      <c r="AD44" s="418">
        <f t="shared" si="23"/>
        <v>800000</v>
      </c>
      <c r="AE44" s="854"/>
      <c r="AF44" s="1012">
        <f>SUM(AF43:AF43)</f>
        <v>0</v>
      </c>
      <c r="AG44" s="1004">
        <f>IF(B44=0,0,AF44/B44)</f>
        <v>0</v>
      </c>
      <c r="AH44" s="988">
        <f>SUM(AH43)</f>
        <v>-17970</v>
      </c>
      <c r="AI44" s="709">
        <f>AH44/B44</f>
        <v>-2.1969020868736016E-2</v>
      </c>
      <c r="AQ44" s="262">
        <f>+AQ31+AQ43</f>
        <v>0</v>
      </c>
      <c r="AU44" s="100">
        <f>+AU31+AU43</f>
        <v>495081961</v>
      </c>
    </row>
    <row r="45" spans="1:47" s="9" customFormat="1" ht="17.25" customHeight="1" thickTop="1" x14ac:dyDescent="0.3">
      <c r="A45" s="2" t="s">
        <v>50</v>
      </c>
      <c r="B45" s="2"/>
      <c r="C45" s="838"/>
      <c r="D45" s="839"/>
      <c r="E45" s="840"/>
      <c r="F45" s="840"/>
      <c r="G45" s="841"/>
      <c r="H45" s="2"/>
      <c r="I45" s="2"/>
      <c r="J45" s="842">
        <f>J40</f>
        <v>189124</v>
      </c>
      <c r="K45" s="2"/>
      <c r="L45" s="2"/>
      <c r="M45" s="2"/>
      <c r="N45" s="2"/>
      <c r="O45" s="842">
        <f>+J40+N40</f>
        <v>464124</v>
      </c>
      <c r="P45" s="2"/>
      <c r="Q45" s="2"/>
      <c r="R45" s="2"/>
      <c r="S45" s="2"/>
      <c r="T45" s="2"/>
      <c r="U45" s="2"/>
      <c r="V45" s="2"/>
      <c r="W45" s="2"/>
      <c r="X45" s="2"/>
      <c r="Y45" s="2"/>
      <c r="Z45" s="2"/>
      <c r="AA45" s="2"/>
      <c r="AB45" s="2"/>
      <c r="AC45" s="6"/>
      <c r="AD45" s="842">
        <f>AD40-D40</f>
        <v>1526359</v>
      </c>
      <c r="AE45" s="46"/>
      <c r="AF45" s="719"/>
      <c r="AG45" s="719"/>
      <c r="AH45" s="244"/>
      <c r="AI45" s="244"/>
      <c r="AJ45" s="244"/>
    </row>
    <row r="46" spans="1:47" s="9" customFormat="1" ht="17.25" customHeight="1" x14ac:dyDescent="0.3">
      <c r="A46" s="123" t="s">
        <v>51</v>
      </c>
      <c r="B46" s="123"/>
      <c r="C46" s="123"/>
      <c r="D46" s="843"/>
      <c r="E46" s="844"/>
      <c r="F46" s="332"/>
      <c r="G46" s="332"/>
      <c r="H46" s="123"/>
      <c r="I46" s="123"/>
      <c r="J46" s="845">
        <f>IF(D40=0,0,J45/D40)</f>
        <v>4.4605916291145561E-2</v>
      </c>
      <c r="K46" s="123"/>
      <c r="L46" s="123"/>
      <c r="M46" s="123"/>
      <c r="N46" s="123"/>
      <c r="O46" s="846">
        <f>IF(D40=0,0,O45/D40)</f>
        <v>0.1094661507408454</v>
      </c>
      <c r="P46" s="123"/>
      <c r="Q46" s="123"/>
      <c r="R46" s="123"/>
      <c r="S46" s="123"/>
      <c r="T46" s="123"/>
      <c r="U46" s="123"/>
      <c r="V46" s="123"/>
      <c r="W46" s="123"/>
      <c r="X46" s="123"/>
      <c r="Y46" s="123"/>
      <c r="Z46" s="123"/>
      <c r="AA46" s="123"/>
      <c r="AB46" s="123"/>
      <c r="AC46" s="47"/>
      <c r="AD46" s="846">
        <f>IF(D40=0,0,AD45/D40)</f>
        <v>0.3600000094342159</v>
      </c>
      <c r="AE46" s="384"/>
      <c r="AF46" s="513"/>
      <c r="AG46" s="513"/>
      <c r="AH46" s="244"/>
      <c r="AI46" s="244"/>
      <c r="AJ46" s="244"/>
    </row>
    <row r="47" spans="1:47" s="9" customFormat="1" ht="33" customHeight="1" x14ac:dyDescent="0.3">
      <c r="A47" s="835" t="s">
        <v>127</v>
      </c>
      <c r="B47" s="836"/>
      <c r="C47" s="836"/>
      <c r="D47" s="836"/>
      <c r="E47" s="836"/>
      <c r="F47" s="836"/>
      <c r="G47" s="836"/>
      <c r="H47" s="836"/>
      <c r="I47" s="836"/>
      <c r="J47" s="836"/>
      <c r="K47" s="836"/>
      <c r="L47" s="836"/>
      <c r="M47" s="837"/>
      <c r="N47" s="712"/>
      <c r="O47" s="837"/>
      <c r="P47" s="6"/>
      <c r="Q47" s="6"/>
      <c r="R47" s="6"/>
      <c r="S47" s="6"/>
      <c r="T47" s="6"/>
      <c r="U47" s="6"/>
      <c r="V47" s="6"/>
      <c r="W47" s="6"/>
      <c r="X47" s="6"/>
      <c r="Y47" s="6"/>
      <c r="Z47" s="6"/>
      <c r="AA47" s="6"/>
      <c r="AB47" s="6"/>
      <c r="AC47" s="6"/>
      <c r="AD47" s="6"/>
      <c r="AE47" s="6"/>
      <c r="AF47" s="8"/>
      <c r="AG47" s="8"/>
      <c r="AH47" s="244"/>
      <c r="AI47" s="244"/>
      <c r="AJ47" s="244"/>
    </row>
    <row r="48" spans="1:47" s="9" customFormat="1" ht="31.5" customHeight="1" x14ac:dyDescent="0.3">
      <c r="P48" s="10"/>
      <c r="Q48" s="10"/>
      <c r="R48" s="10"/>
      <c r="S48" s="1058" t="s">
        <v>128</v>
      </c>
      <c r="T48" s="1058"/>
      <c r="U48" s="1058"/>
      <c r="V48" s="1058"/>
      <c r="W48" s="1058"/>
      <c r="X48" s="1058"/>
      <c r="Y48" s="1058"/>
      <c r="Z48" s="1058"/>
      <c r="AA48" s="1058"/>
      <c r="AB48" s="1058"/>
      <c r="AC48" s="1058"/>
      <c r="AD48" s="46">
        <f>D40*AF48+D40</f>
        <v>5766244.96</v>
      </c>
      <c r="AE48" s="46"/>
      <c r="AF48" s="401">
        <v>0.36</v>
      </c>
      <c r="AH48" s="244"/>
      <c r="AI48" s="244"/>
      <c r="AJ48" s="244"/>
    </row>
    <row r="49" spans="1:36" s="9" customFormat="1" ht="16.5" x14ac:dyDescent="0.3">
      <c r="A49" s="10"/>
      <c r="B49" s="10"/>
      <c r="C49" s="10"/>
      <c r="D49" s="81"/>
      <c r="E49" s="10"/>
      <c r="F49" s="10"/>
      <c r="G49" s="10"/>
      <c r="H49" s="10"/>
      <c r="I49" s="10"/>
      <c r="J49" s="10"/>
      <c r="K49" s="10"/>
      <c r="L49" s="10"/>
      <c r="S49" s="10"/>
      <c r="T49" s="10"/>
      <c r="U49" s="10"/>
      <c r="V49" s="10"/>
      <c r="W49" s="10"/>
      <c r="X49" s="10"/>
      <c r="Y49" s="10"/>
      <c r="Z49" s="10"/>
      <c r="AA49" s="10"/>
      <c r="AB49" s="10"/>
      <c r="AC49" s="990"/>
      <c r="AD49" s="46">
        <f>-AD40</f>
        <v>-5766245</v>
      </c>
      <c r="AE49" s="46"/>
      <c r="AH49" s="244"/>
      <c r="AI49" s="244"/>
      <c r="AJ49" s="244"/>
    </row>
    <row r="50" spans="1:36" s="9" customFormat="1" ht="20.100000000000001" customHeight="1" x14ac:dyDescent="0.3">
      <c r="A50" s="454"/>
      <c r="B50" s="454"/>
      <c r="C50" s="454"/>
      <c r="D50" s="454"/>
      <c r="E50" s="454"/>
      <c r="F50" s="454"/>
      <c r="G50" s="454"/>
      <c r="H50" s="454"/>
      <c r="I50" s="454"/>
      <c r="J50" s="454"/>
      <c r="K50" s="454"/>
      <c r="L50" s="454"/>
      <c r="M50" s="454"/>
      <c r="N50" s="454"/>
      <c r="O50" s="454"/>
      <c r="P50" s="454"/>
      <c r="Q50" s="454"/>
      <c r="R50" s="454"/>
      <c r="S50" s="1059" t="s">
        <v>129</v>
      </c>
      <c r="T50" s="1059"/>
      <c r="U50" s="675"/>
      <c r="V50" s="978"/>
      <c r="W50" s="978"/>
      <c r="X50" s="978"/>
      <c r="Y50" s="978"/>
      <c r="Z50" s="978"/>
      <c r="AA50" s="978"/>
      <c r="AB50" s="675"/>
      <c r="AC50" s="1026"/>
      <c r="AD50" s="306">
        <f>SUM(AD48:AD49)</f>
        <v>-4.0000000037252903E-2</v>
      </c>
      <c r="AE50" s="306"/>
      <c r="AF50" s="249"/>
      <c r="AH50" s="244"/>
      <c r="AI50" s="244"/>
      <c r="AJ50" s="244"/>
    </row>
    <row r="51" spans="1:36" s="9" customFormat="1" ht="16.5" x14ac:dyDescent="0.3">
      <c r="A51" s="6"/>
      <c r="B51" s="10"/>
      <c r="C51" s="10"/>
      <c r="E51" s="10"/>
      <c r="F51" s="10"/>
      <c r="G51" s="10"/>
      <c r="H51" s="10"/>
      <c r="I51" s="10"/>
      <c r="J51" s="10"/>
      <c r="K51" s="10"/>
      <c r="L51" s="10"/>
      <c r="M51" s="10"/>
      <c r="N51" s="130"/>
      <c r="O51" s="130"/>
      <c r="P51" s="10"/>
      <c r="Q51" s="10"/>
      <c r="R51" s="10"/>
      <c r="S51" s="10"/>
      <c r="T51" s="10"/>
      <c r="U51" s="10"/>
      <c r="V51" s="10"/>
      <c r="W51" s="10"/>
      <c r="X51" s="10"/>
      <c r="Y51" s="10"/>
      <c r="Z51" s="10"/>
      <c r="AA51" s="10"/>
      <c r="AB51" s="10"/>
      <c r="AC51" s="10"/>
      <c r="AD51" s="307"/>
      <c r="AE51" s="307"/>
      <c r="AH51" s="244"/>
      <c r="AI51" s="244"/>
      <c r="AJ51" s="244"/>
    </row>
    <row r="52" spans="1:36" ht="18.75" x14ac:dyDescent="0.3">
      <c r="A52" s="67"/>
      <c r="B52" s="68"/>
      <c r="C52" s="68"/>
      <c r="E52" s="22"/>
      <c r="F52" s="22"/>
      <c r="G52" s="22"/>
      <c r="H52" s="22"/>
      <c r="I52" s="22"/>
      <c r="J52" s="22"/>
      <c r="K52" s="4"/>
      <c r="L52" s="4"/>
      <c r="O52" s="6"/>
      <c r="P52" s="4"/>
      <c r="Q52" s="4"/>
      <c r="R52" s="4"/>
      <c r="S52" s="1058" t="s">
        <v>233</v>
      </c>
      <c r="T52" s="1058"/>
      <c r="U52" s="1058"/>
      <c r="V52" s="1058"/>
      <c r="W52" s="1058"/>
      <c r="X52" s="1058"/>
      <c r="Y52" s="1058"/>
      <c r="Z52" s="1058"/>
      <c r="AA52" s="1058"/>
      <c r="AB52" s="1058"/>
      <c r="AC52" s="1058"/>
      <c r="AD52" s="46">
        <f>D40*AF48</f>
        <v>1526358.96</v>
      </c>
      <c r="AE52" s="46"/>
    </row>
    <row r="53" spans="1:36" ht="16.5" x14ac:dyDescent="0.3">
      <c r="A53" s="6"/>
      <c r="B53" s="11"/>
      <c r="C53" s="11"/>
      <c r="D53" s="11"/>
      <c r="E53" s="11"/>
      <c r="F53" s="11"/>
      <c r="G53" s="11"/>
      <c r="H53" s="11"/>
      <c r="I53" s="11"/>
      <c r="J53" s="11"/>
      <c r="K53" s="4"/>
      <c r="L53" s="4"/>
      <c r="O53" s="6"/>
      <c r="P53" s="4"/>
      <c r="Q53" s="4"/>
      <c r="R53" s="4"/>
      <c r="S53" s="4"/>
      <c r="T53" s="4"/>
      <c r="U53" s="4"/>
      <c r="V53" s="4"/>
      <c r="W53" s="4"/>
      <c r="X53" s="4"/>
      <c r="Y53" s="4"/>
      <c r="Z53" s="4"/>
      <c r="AA53" s="4"/>
      <c r="AB53" s="4"/>
      <c r="AC53" s="10"/>
      <c r="AD53" s="308"/>
      <c r="AE53" s="308"/>
    </row>
    <row r="54" spans="1:36" ht="16.5" x14ac:dyDescent="0.3">
      <c r="A54" s="12"/>
      <c r="B54" s="11"/>
      <c r="C54" s="11"/>
      <c r="D54" s="11"/>
      <c r="E54" s="11"/>
      <c r="F54" s="11"/>
      <c r="G54" s="11"/>
      <c r="H54" s="11"/>
      <c r="I54" s="11"/>
      <c r="J54" s="11"/>
      <c r="K54" s="4"/>
      <c r="L54" s="4"/>
      <c r="O54" s="250"/>
      <c r="P54" s="4"/>
      <c r="Q54" s="4"/>
      <c r="R54" s="4"/>
      <c r="S54" s="4"/>
      <c r="T54" s="4"/>
      <c r="U54" s="4"/>
      <c r="V54" s="4"/>
      <c r="W54" s="4"/>
      <c r="X54" s="4"/>
      <c r="Y54" s="4"/>
      <c r="Z54" s="4"/>
      <c r="AA54" s="4"/>
      <c r="AB54" s="4"/>
      <c r="AC54" s="10"/>
      <c r="AD54" s="4"/>
      <c r="AE54" s="4"/>
    </row>
    <row r="55" spans="1:36" ht="15" x14ac:dyDescent="0.2">
      <c r="A55" s="12"/>
      <c r="B55" s="11"/>
      <c r="C55" s="11"/>
      <c r="D55" s="11"/>
      <c r="E55" s="11"/>
      <c r="F55" s="11"/>
      <c r="G55" s="11"/>
      <c r="H55" s="11"/>
      <c r="I55" s="11"/>
      <c r="J55" s="11"/>
      <c r="K55" s="4"/>
      <c r="L55" s="4"/>
      <c r="O55" s="10"/>
      <c r="P55" s="10"/>
      <c r="Q55" s="10"/>
      <c r="R55" s="10"/>
      <c r="S55" s="4"/>
      <c r="T55" s="4"/>
      <c r="U55" s="4"/>
      <c r="V55" s="4"/>
      <c r="W55" s="4"/>
      <c r="X55" s="4"/>
      <c r="Y55" s="4"/>
      <c r="Z55" s="4"/>
      <c r="AA55" s="4"/>
      <c r="AB55" s="4"/>
      <c r="AC55" s="10"/>
      <c r="AD55" s="4"/>
      <c r="AE55" s="4"/>
    </row>
    <row r="56" spans="1:36" ht="15" x14ac:dyDescent="0.2">
      <c r="A56" s="12"/>
      <c r="B56" s="11"/>
      <c r="C56" s="11"/>
      <c r="D56" s="11"/>
      <c r="E56" s="11"/>
      <c r="F56" s="11"/>
      <c r="G56" s="11"/>
      <c r="H56" s="11"/>
      <c r="I56" s="11"/>
      <c r="J56" s="11"/>
      <c r="K56" s="4"/>
      <c r="L56" s="4"/>
      <c r="M56" s="4"/>
      <c r="N56" s="4"/>
      <c r="O56" s="4"/>
      <c r="P56" s="4"/>
      <c r="Q56" s="4"/>
      <c r="R56" s="4"/>
      <c r="S56" s="4"/>
      <c r="T56" s="4"/>
      <c r="U56" s="4"/>
      <c r="V56" s="4"/>
      <c r="W56" s="4"/>
      <c r="X56" s="4"/>
      <c r="Y56" s="4"/>
      <c r="Z56" s="4"/>
      <c r="AA56" s="4"/>
      <c r="AB56" s="4"/>
      <c r="AC56" s="10"/>
      <c r="AD56" s="4"/>
      <c r="AE56" s="4"/>
    </row>
    <row r="57" spans="1:36" ht="15" x14ac:dyDescent="0.2">
      <c r="B57" s="1"/>
      <c r="C57" s="1"/>
      <c r="D57" s="1"/>
      <c r="E57" s="1"/>
      <c r="F57" s="1"/>
      <c r="G57" s="1"/>
      <c r="H57" s="1"/>
      <c r="I57" s="1"/>
      <c r="J57" s="1"/>
      <c r="K57" s="4"/>
      <c r="L57" s="4"/>
      <c r="M57" s="4"/>
      <c r="N57" s="4"/>
      <c r="O57" s="4"/>
      <c r="P57" s="4"/>
      <c r="Q57" s="4"/>
      <c r="R57" s="4"/>
      <c r="S57" s="4"/>
      <c r="T57" s="4"/>
      <c r="U57" s="4"/>
      <c r="V57" s="4"/>
      <c r="W57" s="4"/>
      <c r="X57" s="4"/>
      <c r="Y57" s="4"/>
      <c r="Z57" s="4"/>
      <c r="AA57" s="4"/>
      <c r="AB57" s="4"/>
      <c r="AC57" s="10"/>
      <c r="AD57" s="4"/>
      <c r="AE57" s="4"/>
    </row>
    <row r="58" spans="1:36" ht="15" x14ac:dyDescent="0.2">
      <c r="B58" s="1"/>
      <c r="C58" s="1"/>
      <c r="D58" s="1"/>
      <c r="E58" s="1"/>
      <c r="F58" s="1"/>
      <c r="G58" s="1"/>
      <c r="H58" s="1"/>
      <c r="I58" s="1"/>
      <c r="J58" s="1"/>
      <c r="K58" s="4"/>
      <c r="L58" s="4"/>
      <c r="M58" s="4"/>
      <c r="N58" s="4"/>
      <c r="O58" s="4"/>
      <c r="P58" s="4"/>
      <c r="Q58" s="4"/>
      <c r="R58" s="4"/>
      <c r="S58" s="4"/>
      <c r="T58" s="4"/>
      <c r="U58" s="4"/>
      <c r="V58" s="4"/>
      <c r="W58" s="4"/>
      <c r="X58" s="4"/>
      <c r="Y58" s="4"/>
      <c r="Z58" s="4"/>
      <c r="AA58" s="4"/>
      <c r="AB58" s="4"/>
      <c r="AC58" s="10"/>
      <c r="AD58" s="4"/>
      <c r="AE58" s="4"/>
    </row>
    <row r="59" spans="1:36" ht="16.5" x14ac:dyDescent="0.3">
      <c r="B59" s="1"/>
      <c r="C59" s="1"/>
      <c r="D59" s="1"/>
      <c r="E59" s="1"/>
      <c r="F59" s="1"/>
      <c r="G59" s="1"/>
      <c r="H59" s="1"/>
      <c r="I59" s="1"/>
      <c r="J59" s="1"/>
      <c r="K59" s="4"/>
      <c r="L59" s="4"/>
      <c r="M59" s="4"/>
      <c r="N59" s="4"/>
      <c r="O59" s="4"/>
      <c r="P59" s="4"/>
      <c r="Q59" s="4"/>
      <c r="R59" s="4"/>
      <c r="S59" s="4"/>
      <c r="T59" s="4"/>
      <c r="U59" s="4"/>
      <c r="V59" s="4"/>
      <c r="W59" s="4"/>
      <c r="X59" s="4"/>
      <c r="Y59" s="4"/>
      <c r="Z59" s="4"/>
      <c r="AA59" s="4"/>
      <c r="AB59" s="4"/>
      <c r="AC59" s="10"/>
      <c r="AD59" s="46"/>
      <c r="AE59" s="4"/>
    </row>
    <row r="75" spans="5:5" x14ac:dyDescent="0.2">
      <c r="E75" s="23"/>
    </row>
  </sheetData>
  <mergeCells count="21">
    <mergeCell ref="S48:AC48"/>
    <mergeCell ref="S50:T50"/>
    <mergeCell ref="S52:AC52"/>
    <mergeCell ref="AF8:AI8"/>
    <mergeCell ref="AH10:AI10"/>
    <mergeCell ref="AH11:AI11"/>
    <mergeCell ref="AF10:AG10"/>
    <mergeCell ref="AF11:AG11"/>
    <mergeCell ref="E8:I8"/>
    <mergeCell ref="K8:M8"/>
    <mergeCell ref="P8:T8"/>
    <mergeCell ref="G10:H10"/>
    <mergeCell ref="A1:AG1"/>
    <mergeCell ref="A2:AG2"/>
    <mergeCell ref="A3:AG3"/>
    <mergeCell ref="A4:AG4"/>
    <mergeCell ref="E7:J7"/>
    <mergeCell ref="K7:N7"/>
    <mergeCell ref="P7:AC7"/>
    <mergeCell ref="E6:O6"/>
    <mergeCell ref="A6:D7"/>
  </mergeCells>
  <hyperlinks>
    <hyperlink ref="A13" location="'3)Budget Line Descriptions'!A5" display="SERVICES"/>
    <hyperlink ref="A42" location="'3)Budget Line Descriptions'!A27" display="CONTRACT SUPPORT COSTS"/>
    <hyperlink ref="A33" location="'3)Budget Line Descriptions'!A21" display="FACILITIES"/>
    <hyperlink ref="A12" location="'2) Worksheet Guidance'!A6" display="Sub Sub Activity"/>
    <hyperlink ref="B8" location="'2) Worksheet Guidance'!A7" display="FY 2019"/>
    <hyperlink ref="C8" location="'2) Worksheet Guidance'!A8" display="FY 2018"/>
    <hyperlink ref="D8" location="'2) Worksheet Guidance'!A9" display="FY 2017"/>
    <hyperlink ref="E10:F11" location="'2) Worksheet Guidance'!A9" display="Federal"/>
    <hyperlink ref="G10:H10" location="'2) Worksheet Guidance'!A11" display="Inflation"/>
    <hyperlink ref="I11:I12" location="'2) Worksheet Guidance'!A12" display="Population"/>
    <hyperlink ref="J10:J12" location="'2) Worksheet Guidance'!A13" display="Current"/>
    <hyperlink ref="K9:K12" location="'2) Worksheet Guidance'!A14" display="Staffing"/>
    <hyperlink ref="L9:L12" location="'2) Worksheet Guidance'!A15" display="Contract"/>
    <hyperlink ref="M9:M10" location="'2) Worksheet Guidance'!A16" display="Healthcare"/>
    <hyperlink ref="N10:N12" location="'2) Worksheet Guidance'!A17" display="Binding"/>
    <hyperlink ref="O8:O12" location="'2) Worksheet Guidance'!A18" display="Current"/>
    <hyperlink ref="P7:AC7" location="'2) Worksheet Guidance'!A19" display="PROGRAM INCREASES - NATIONAL PRIORITIES"/>
    <hyperlink ref="AC10:AC12" location="'2) Worksheet Guidance'!A20" display="Program"/>
    <hyperlink ref="AD9:AD12" location="'2) Worksheet Guidance'!A22" display="FY 2020"/>
    <hyperlink ref="AH10:AI11" location="'2) Worksheet Guidance'!A25" display="change over"/>
    <hyperlink ref="AF10:AG11" location="'2) Worksheet Guidance'!A24" display="change over"/>
    <hyperlink ref="E10:E11" location="'2) Worksheet Guidance'!A10" display="Federal"/>
    <hyperlink ref="F10:F11" location="'2) Worksheet Guidance'!A10" display="Tribal "/>
  </hyperlinks>
  <printOptions horizontalCentered="1" verticalCentered="1" headings="1"/>
  <pageMargins left="0.25" right="0.25" top="0.75" bottom="0.75" header="0.3" footer="0.3"/>
  <pageSetup scale="49" fitToWidth="2" orientation="landscape" r:id="rId1"/>
  <headerFooter scaleWithDoc="0">
    <oddHeader>&amp;C&amp;"Times New Roman,Bold"&amp;12                                                                            &amp;11        &amp;12                                                                            &amp;R&amp;"Times New Roman,Regular"&amp;12Deliverable #1</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abSelected="1" zoomScale="120" zoomScaleNormal="120" workbookViewId="0">
      <selection activeCell="A25" sqref="A25"/>
    </sheetView>
  </sheetViews>
  <sheetFormatPr defaultRowHeight="12.75" x14ac:dyDescent="0.2"/>
  <cols>
    <col min="1" max="1" width="80" customWidth="1"/>
    <col min="2" max="2" width="10.42578125" customWidth="1"/>
  </cols>
  <sheetData>
    <row r="1" spans="1:2" x14ac:dyDescent="0.2">
      <c r="A1" s="981" t="s">
        <v>276</v>
      </c>
      <c r="B1" s="1153" t="s">
        <v>274</v>
      </c>
    </row>
    <row r="2" spans="1:2" x14ac:dyDescent="0.2">
      <c r="A2" s="12" t="s">
        <v>237</v>
      </c>
    </row>
    <row r="3" spans="1:2" x14ac:dyDescent="0.2">
      <c r="A3" s="12" t="s">
        <v>238</v>
      </c>
      <c r="B3">
        <v>2</v>
      </c>
    </row>
    <row r="4" spans="1:2" x14ac:dyDescent="0.2">
      <c r="A4" s="12" t="s">
        <v>254</v>
      </c>
      <c r="B4">
        <v>3</v>
      </c>
    </row>
    <row r="5" spans="1:2" x14ac:dyDescent="0.2">
      <c r="A5" s="12" t="s">
        <v>246</v>
      </c>
    </row>
    <row r="6" spans="1:2" x14ac:dyDescent="0.2">
      <c r="A6" s="12" t="s">
        <v>251</v>
      </c>
    </row>
    <row r="7" spans="1:2" x14ac:dyDescent="0.2">
      <c r="A7" s="12" t="s">
        <v>239</v>
      </c>
    </row>
    <row r="8" spans="1:2" x14ac:dyDescent="0.2">
      <c r="A8" s="12" t="s">
        <v>10</v>
      </c>
    </row>
    <row r="9" spans="1:2" x14ac:dyDescent="0.2">
      <c r="A9" s="12" t="s">
        <v>240</v>
      </c>
      <c r="B9">
        <v>2</v>
      </c>
    </row>
    <row r="10" spans="1:2" x14ac:dyDescent="0.2">
      <c r="A10" s="12" t="s">
        <v>255</v>
      </c>
    </row>
    <row r="11" spans="1:2" x14ac:dyDescent="0.2">
      <c r="A11" s="12" t="s">
        <v>244</v>
      </c>
      <c r="B11">
        <v>3</v>
      </c>
    </row>
    <row r="12" spans="1:2" x14ac:dyDescent="0.2">
      <c r="A12" s="12" t="s">
        <v>253</v>
      </c>
      <c r="B12">
        <v>3</v>
      </c>
    </row>
    <row r="13" spans="1:2" x14ac:dyDescent="0.2">
      <c r="A13" s="12" t="s">
        <v>241</v>
      </c>
    </row>
    <row r="14" spans="1:2" x14ac:dyDescent="0.2">
      <c r="A14" s="12" t="s">
        <v>252</v>
      </c>
    </row>
    <row r="15" spans="1:2" x14ac:dyDescent="0.2">
      <c r="A15" s="12" t="s">
        <v>242</v>
      </c>
    </row>
    <row r="16" spans="1:2" x14ac:dyDescent="0.2">
      <c r="A16" s="12" t="s">
        <v>2</v>
      </c>
      <c r="B16">
        <v>2</v>
      </c>
    </row>
    <row r="17" spans="1:2" x14ac:dyDescent="0.2">
      <c r="A17" s="12" t="s">
        <v>243</v>
      </c>
      <c r="B17">
        <v>2</v>
      </c>
    </row>
    <row r="18" spans="1:2" x14ac:dyDescent="0.2">
      <c r="A18" s="12" t="s">
        <v>16</v>
      </c>
    </row>
    <row r="19" spans="1:2" x14ac:dyDescent="0.2">
      <c r="A19" s="12" t="s">
        <v>249</v>
      </c>
      <c r="B19">
        <v>2</v>
      </c>
    </row>
    <row r="20" spans="1:2" x14ac:dyDescent="0.2">
      <c r="A20" t="s">
        <v>245</v>
      </c>
    </row>
    <row r="21" spans="1:2" x14ac:dyDescent="0.2">
      <c r="A21" s="12" t="s">
        <v>250</v>
      </c>
    </row>
    <row r="22" spans="1:2" x14ac:dyDescent="0.2">
      <c r="A22" s="12" t="s">
        <v>278</v>
      </c>
    </row>
    <row r="23" spans="1:2" x14ac:dyDescent="0.2">
      <c r="A23" s="12" t="s">
        <v>256</v>
      </c>
    </row>
    <row r="24" spans="1:2" x14ac:dyDescent="0.2">
      <c r="A24" s="12" t="s">
        <v>277</v>
      </c>
      <c r="B24">
        <v>2</v>
      </c>
    </row>
    <row r="25" spans="1:2" x14ac:dyDescent="0.2">
      <c r="A25" s="12" t="s">
        <v>275</v>
      </c>
    </row>
    <row r="26" spans="1:2" x14ac:dyDescent="0.2">
      <c r="A26" s="12" t="s">
        <v>248</v>
      </c>
    </row>
    <row r="27" spans="1:2" x14ac:dyDescent="0.2">
      <c r="A27" s="12" t="s">
        <v>247</v>
      </c>
    </row>
    <row r="29" spans="1:2" x14ac:dyDescent="0.2">
      <c r="A29" s="981" t="s">
        <v>268</v>
      </c>
    </row>
    <row r="30" spans="1:2" x14ac:dyDescent="0.2">
      <c r="A30" s="12" t="s">
        <v>269</v>
      </c>
    </row>
    <row r="31" spans="1:2" x14ac:dyDescent="0.2">
      <c r="A31" s="12" t="s">
        <v>271</v>
      </c>
    </row>
    <row r="32" spans="1:2" x14ac:dyDescent="0.2">
      <c r="A32" s="12" t="s">
        <v>257</v>
      </c>
    </row>
    <row r="33" spans="1:1" x14ac:dyDescent="0.2">
      <c r="A33" s="12" t="s">
        <v>270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34"/>
  <sheetViews>
    <sheetView topLeftCell="A4" zoomScaleNormal="100" workbookViewId="0">
      <selection activeCell="B53" sqref="B53"/>
    </sheetView>
  </sheetViews>
  <sheetFormatPr defaultRowHeight="12.75" x14ac:dyDescent="0.2"/>
  <cols>
    <col min="1" max="1" width="8.85546875" customWidth="1"/>
    <col min="2" max="2" width="80.140625" customWidth="1"/>
  </cols>
  <sheetData>
    <row r="1" spans="1:3" ht="15.75" x14ac:dyDescent="0.25">
      <c r="A1" s="1072" t="s">
        <v>198</v>
      </c>
      <c r="B1" s="1072"/>
    </row>
    <row r="2" spans="1:3" x14ac:dyDescent="0.2">
      <c r="A2" s="1071" t="s">
        <v>196</v>
      </c>
      <c r="B2" s="1071"/>
    </row>
    <row r="3" spans="1:3" x14ac:dyDescent="0.2">
      <c r="A3" s="1071"/>
      <c r="B3" s="1071"/>
    </row>
    <row r="5" spans="1:3" ht="15.75" x14ac:dyDescent="0.25">
      <c r="A5" s="849" t="s">
        <v>160</v>
      </c>
      <c r="B5" s="849" t="s">
        <v>144</v>
      </c>
    </row>
    <row r="6" spans="1:3" ht="15.75" x14ac:dyDescent="0.25">
      <c r="A6" s="713" t="s">
        <v>161</v>
      </c>
      <c r="B6" s="847" t="s">
        <v>172</v>
      </c>
    </row>
    <row r="7" spans="1:3" ht="15.75" x14ac:dyDescent="0.25">
      <c r="A7" s="713" t="s">
        <v>162</v>
      </c>
      <c r="B7" s="690" t="s">
        <v>204</v>
      </c>
    </row>
    <row r="8" spans="1:3" ht="15.75" x14ac:dyDescent="0.25">
      <c r="A8" s="713" t="s">
        <v>163</v>
      </c>
      <c r="B8" s="691" t="s">
        <v>221</v>
      </c>
    </row>
    <row r="9" spans="1:3" ht="30.75" thickBot="1" x14ac:dyDescent="0.3">
      <c r="A9" s="953" t="s">
        <v>164</v>
      </c>
      <c r="B9" s="954" t="s">
        <v>209</v>
      </c>
    </row>
    <row r="10" spans="1:3" ht="45" x14ac:dyDescent="0.25">
      <c r="A10" s="957" t="s">
        <v>173</v>
      </c>
      <c r="B10" s="958" t="s">
        <v>174</v>
      </c>
      <c r="C10" s="1073" t="s">
        <v>230</v>
      </c>
    </row>
    <row r="11" spans="1:3" ht="30" x14ac:dyDescent="0.25">
      <c r="A11" s="950" t="s">
        <v>175</v>
      </c>
      <c r="B11" s="951" t="s">
        <v>176</v>
      </c>
      <c r="C11" s="1074"/>
    </row>
    <row r="12" spans="1:3" ht="45" x14ac:dyDescent="0.25">
      <c r="A12" s="950" t="s">
        <v>165</v>
      </c>
      <c r="B12" s="951" t="s">
        <v>177</v>
      </c>
      <c r="C12" s="1074"/>
    </row>
    <row r="13" spans="1:3" ht="15.75" x14ac:dyDescent="0.25">
      <c r="A13" s="950" t="s">
        <v>166</v>
      </c>
      <c r="B13" s="951" t="s">
        <v>184</v>
      </c>
      <c r="C13" s="1074"/>
    </row>
    <row r="14" spans="1:3" ht="90" x14ac:dyDescent="0.25">
      <c r="A14" s="950" t="s">
        <v>167</v>
      </c>
      <c r="B14" s="951" t="s">
        <v>178</v>
      </c>
      <c r="C14" s="1074"/>
    </row>
    <row r="15" spans="1:3" ht="60" x14ac:dyDescent="0.25">
      <c r="A15" s="950" t="s">
        <v>168</v>
      </c>
      <c r="B15" s="951" t="s">
        <v>220</v>
      </c>
      <c r="C15" s="1074"/>
    </row>
    <row r="16" spans="1:3" ht="45" x14ac:dyDescent="0.25">
      <c r="A16" s="950" t="s">
        <v>169</v>
      </c>
      <c r="B16" s="951" t="s">
        <v>179</v>
      </c>
      <c r="C16" s="1074"/>
    </row>
    <row r="17" spans="1:3" ht="15.75" x14ac:dyDescent="0.25">
      <c r="A17" s="950" t="s">
        <v>170</v>
      </c>
      <c r="B17" s="951" t="s">
        <v>185</v>
      </c>
      <c r="C17" s="1074"/>
    </row>
    <row r="18" spans="1:3" ht="16.5" thickBot="1" x14ac:dyDescent="0.3">
      <c r="A18" s="959" t="s">
        <v>171</v>
      </c>
      <c r="B18" s="960" t="s">
        <v>186</v>
      </c>
      <c r="C18" s="1075"/>
    </row>
    <row r="19" spans="1:3" ht="60" x14ac:dyDescent="0.25">
      <c r="A19" s="955" t="s">
        <v>180</v>
      </c>
      <c r="B19" s="956" t="s">
        <v>214</v>
      </c>
    </row>
    <row r="20" spans="1:3" ht="15.75" x14ac:dyDescent="0.25">
      <c r="A20" s="714" t="s">
        <v>181</v>
      </c>
      <c r="B20" s="692" t="s">
        <v>187</v>
      </c>
    </row>
    <row r="21" spans="1:3" ht="4.5" customHeight="1" thickBot="1" x14ac:dyDescent="0.3">
      <c r="A21" s="716"/>
      <c r="B21" s="693"/>
    </row>
    <row r="22" spans="1:3" ht="17.25" thickTop="1" thickBot="1" x14ac:dyDescent="0.3">
      <c r="A22" s="859" t="s">
        <v>182</v>
      </c>
      <c r="B22" s="858" t="s">
        <v>183</v>
      </c>
    </row>
    <row r="23" spans="1:3" ht="10.5" customHeight="1" thickTop="1" x14ac:dyDescent="0.25">
      <c r="A23" s="717"/>
      <c r="B23" s="689"/>
    </row>
    <row r="24" spans="1:3" ht="30" x14ac:dyDescent="0.25">
      <c r="A24" s="713" t="s">
        <v>188</v>
      </c>
      <c r="B24" s="739" t="s">
        <v>191</v>
      </c>
    </row>
    <row r="25" spans="1:3" ht="30" x14ac:dyDescent="0.25">
      <c r="A25" s="715" t="s">
        <v>192</v>
      </c>
      <c r="B25" s="739" t="s">
        <v>193</v>
      </c>
    </row>
    <row r="26" spans="1:3" x14ac:dyDescent="0.2">
      <c r="A26" s="23"/>
    </row>
    <row r="27" spans="1:3" x14ac:dyDescent="0.2">
      <c r="A27" s="23"/>
    </row>
    <row r="28" spans="1:3" x14ac:dyDescent="0.2">
      <c r="A28" s="23"/>
    </row>
    <row r="29" spans="1:3" x14ac:dyDescent="0.2">
      <c r="A29" s="23"/>
    </row>
    <row r="30" spans="1:3" x14ac:dyDescent="0.2">
      <c r="A30" s="23"/>
    </row>
    <row r="31" spans="1:3" x14ac:dyDescent="0.2">
      <c r="A31" s="23"/>
    </row>
    <row r="32" spans="1:3" x14ac:dyDescent="0.2">
      <c r="A32" s="23"/>
    </row>
    <row r="33" spans="1:1" x14ac:dyDescent="0.2">
      <c r="A33" s="23"/>
    </row>
    <row r="34" spans="1:1" x14ac:dyDescent="0.2">
      <c r="A34" s="23"/>
    </row>
  </sheetData>
  <mergeCells count="3">
    <mergeCell ref="A2:B3"/>
    <mergeCell ref="A1:B1"/>
    <mergeCell ref="C10:C18"/>
  </mergeCells>
  <hyperlinks>
    <hyperlink ref="B6" location="'3)Budget Line Descriptions'!A2" display="Sub-Sub Activity also known as 'Budget Line Item'"/>
  </hyperlinks>
  <printOptions horizontalCentered="1"/>
  <pageMargins left="0.7" right="0.7" top="0.75" bottom="0.75" header="0.3" footer="0.3"/>
  <pageSetup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8"/>
  <sheetViews>
    <sheetView zoomScale="90" zoomScaleNormal="90" workbookViewId="0">
      <selection activeCell="B42" sqref="B42"/>
    </sheetView>
  </sheetViews>
  <sheetFormatPr defaultRowHeight="12.75" x14ac:dyDescent="0.2"/>
  <cols>
    <col min="1" max="1" width="39.28515625" customWidth="1"/>
    <col min="2" max="2" width="138.140625" customWidth="1"/>
  </cols>
  <sheetData>
    <row r="1" spans="1:6" ht="15.75" x14ac:dyDescent="0.25">
      <c r="A1" s="1072" t="s">
        <v>198</v>
      </c>
      <c r="B1" s="1072"/>
    </row>
    <row r="2" spans="1:6" ht="15.75" x14ac:dyDescent="0.25">
      <c r="A2" s="1076" t="s">
        <v>197</v>
      </c>
      <c r="B2" s="1076"/>
    </row>
    <row r="3" spans="1:6" ht="12.75" customHeight="1" x14ac:dyDescent="0.3">
      <c r="A3" s="848"/>
      <c r="B3" s="848"/>
    </row>
    <row r="4" spans="1:6" ht="18.75" customHeight="1" thickBot="1" x14ac:dyDescent="0.3">
      <c r="A4" s="851" t="s">
        <v>142</v>
      </c>
      <c r="B4" s="852" t="s">
        <v>144</v>
      </c>
    </row>
    <row r="5" spans="1:6" ht="15.75" customHeight="1" thickTop="1" x14ac:dyDescent="0.25">
      <c r="A5" s="1081" t="s">
        <v>155</v>
      </c>
      <c r="B5" s="1082"/>
    </row>
    <row r="6" spans="1:6" ht="47.25" x14ac:dyDescent="0.2">
      <c r="A6" s="940" t="s">
        <v>143</v>
      </c>
      <c r="B6" s="850" t="s">
        <v>215</v>
      </c>
    </row>
    <row r="7" spans="1:6" ht="81.75" customHeight="1" x14ac:dyDescent="0.2">
      <c r="A7" s="940" t="s">
        <v>145</v>
      </c>
      <c r="B7" s="850" t="s">
        <v>216</v>
      </c>
      <c r="F7" s="689"/>
    </row>
    <row r="8" spans="1:6" ht="48.75" customHeight="1" x14ac:dyDescent="0.2">
      <c r="A8" s="940" t="s">
        <v>3</v>
      </c>
      <c r="B8" s="850" t="s">
        <v>217</v>
      </c>
    </row>
    <row r="9" spans="1:6" ht="47.25" x14ac:dyDescent="0.2">
      <c r="A9" s="940" t="s">
        <v>146</v>
      </c>
      <c r="B9" s="850" t="s">
        <v>199</v>
      </c>
    </row>
    <row r="10" spans="1:6" ht="47.25" x14ac:dyDescent="0.2">
      <c r="A10" s="940" t="s">
        <v>84</v>
      </c>
      <c r="B10" s="850" t="s">
        <v>222</v>
      </c>
    </row>
    <row r="11" spans="1:6" ht="47.25" x14ac:dyDescent="0.2">
      <c r="A11" s="940" t="s">
        <v>6</v>
      </c>
      <c r="B11" s="850" t="s">
        <v>218</v>
      </c>
    </row>
    <row r="12" spans="1:6" ht="63" x14ac:dyDescent="0.2">
      <c r="A12" s="940" t="s">
        <v>7</v>
      </c>
      <c r="B12" s="850" t="s">
        <v>219</v>
      </c>
    </row>
    <row r="13" spans="1:6" ht="47.25" x14ac:dyDescent="0.2">
      <c r="A13" s="940" t="s">
        <v>147</v>
      </c>
      <c r="B13" s="850" t="s">
        <v>157</v>
      </c>
    </row>
    <row r="14" spans="1:6" ht="47.25" x14ac:dyDescent="0.2">
      <c r="A14" s="940" t="s">
        <v>9</v>
      </c>
      <c r="B14" s="850" t="s">
        <v>158</v>
      </c>
    </row>
    <row r="15" spans="1:6" ht="18" customHeight="1" x14ac:dyDescent="0.2">
      <c r="A15" s="1077" t="s">
        <v>156</v>
      </c>
      <c r="B15" s="1078"/>
    </row>
    <row r="16" spans="1:6" ht="47.25" x14ac:dyDescent="0.2">
      <c r="A16" s="940" t="s">
        <v>148</v>
      </c>
      <c r="B16" s="850" t="s">
        <v>223</v>
      </c>
    </row>
    <row r="17" spans="1:2" ht="47.25" x14ac:dyDescent="0.2">
      <c r="A17" s="940" t="s">
        <v>11</v>
      </c>
      <c r="B17" s="850" t="s">
        <v>159</v>
      </c>
    </row>
    <row r="18" spans="1:2" ht="78" customHeight="1" x14ac:dyDescent="0.2">
      <c r="A18" s="940" t="s">
        <v>149</v>
      </c>
      <c r="B18" s="850" t="s">
        <v>224</v>
      </c>
    </row>
    <row r="19" spans="1:2" ht="31.5" x14ac:dyDescent="0.2">
      <c r="A19" s="940" t="s">
        <v>150</v>
      </c>
      <c r="B19" s="850" t="s">
        <v>210</v>
      </c>
    </row>
    <row r="20" spans="1:2" ht="311.25" customHeight="1" x14ac:dyDescent="0.2">
      <c r="A20" s="940" t="s">
        <v>30</v>
      </c>
      <c r="B20" s="850" t="s">
        <v>229</v>
      </c>
    </row>
    <row r="21" spans="1:2" ht="15" customHeight="1" x14ac:dyDescent="0.2">
      <c r="A21" s="1077" t="s">
        <v>92</v>
      </c>
      <c r="B21" s="1078"/>
    </row>
    <row r="22" spans="1:2" ht="15.75" x14ac:dyDescent="0.2">
      <c r="A22" s="941" t="s">
        <v>152</v>
      </c>
      <c r="B22" s="942" t="s">
        <v>200</v>
      </c>
    </row>
    <row r="23" spans="1:2" ht="15.75" x14ac:dyDescent="0.2">
      <c r="A23" s="941" t="s">
        <v>153</v>
      </c>
      <c r="B23" s="942" t="s">
        <v>201</v>
      </c>
    </row>
    <row r="24" spans="1:2" ht="31.5" x14ac:dyDescent="0.2">
      <c r="A24" s="941" t="s">
        <v>154</v>
      </c>
      <c r="B24" s="942" t="s">
        <v>212</v>
      </c>
    </row>
    <row r="25" spans="1:2" ht="31.5" x14ac:dyDescent="0.2">
      <c r="A25" s="941" t="s">
        <v>211</v>
      </c>
      <c r="B25" s="942" t="s">
        <v>202</v>
      </c>
    </row>
    <row r="26" spans="1:2" ht="17.25" customHeight="1" x14ac:dyDescent="0.2">
      <c r="A26" s="943" t="s">
        <v>16</v>
      </c>
      <c r="B26" s="942" t="s">
        <v>203</v>
      </c>
    </row>
    <row r="27" spans="1:2" ht="15.75" x14ac:dyDescent="0.2">
      <c r="A27" s="1079" t="s">
        <v>151</v>
      </c>
      <c r="B27" s="1080"/>
    </row>
    <row r="28" spans="1:2" ht="94.5" x14ac:dyDescent="0.2">
      <c r="A28" s="940" t="s">
        <v>151</v>
      </c>
      <c r="B28" s="850" t="s">
        <v>228</v>
      </c>
    </row>
  </sheetData>
  <mergeCells count="6">
    <mergeCell ref="A2:B2"/>
    <mergeCell ref="A1:B1"/>
    <mergeCell ref="A21:B21"/>
    <mergeCell ref="A27:B27"/>
    <mergeCell ref="A15:B15"/>
    <mergeCell ref="A5:B5"/>
  </mergeCells>
  <printOptions horizontalCentered="1"/>
  <pageMargins left="0.25" right="0.25" top="0.75" bottom="0.75" header="0.05" footer="0.05"/>
  <pageSetup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AR75"/>
  <sheetViews>
    <sheetView zoomScale="70" zoomScaleNormal="70" zoomScaleSheetLayoutView="90" zoomScalePageLayoutView="70" workbookViewId="0">
      <selection activeCell="S12" sqref="S12"/>
    </sheetView>
  </sheetViews>
  <sheetFormatPr defaultRowHeight="12.75" x14ac:dyDescent="0.2"/>
  <cols>
    <col min="1" max="1" width="32.85546875" customWidth="1"/>
    <col min="2" max="2" width="13.140625" customWidth="1"/>
    <col min="3" max="3" width="14.140625" customWidth="1"/>
    <col min="4" max="4" width="12.85546875" customWidth="1"/>
    <col min="5" max="5" width="9.7109375" customWidth="1"/>
    <col min="6" max="6" width="9.85546875" customWidth="1"/>
    <col min="7" max="7" width="10" customWidth="1"/>
    <col min="8" max="8" width="9.7109375" customWidth="1"/>
    <col min="9" max="9" width="12" customWidth="1"/>
    <col min="10" max="10" width="13" customWidth="1"/>
    <col min="11" max="11" width="9.7109375" customWidth="1"/>
    <col min="12" max="12" width="10.5703125" customWidth="1"/>
    <col min="13" max="13" width="12.7109375" customWidth="1"/>
    <col min="14" max="14" width="11.28515625" customWidth="1"/>
    <col min="15" max="15" width="12.140625" customWidth="1"/>
    <col min="16" max="16" width="14.5703125" customWidth="1"/>
    <col min="17" max="20" width="8.5703125" customWidth="1"/>
    <col min="21" max="25" width="8.140625" customWidth="1"/>
    <col min="26" max="26" width="11.5703125" customWidth="1"/>
    <col min="27" max="27" width="14.28515625" customWidth="1"/>
    <col min="28" max="28" width="1.28515625" customWidth="1"/>
    <col min="29" max="29" width="8.7109375" customWidth="1"/>
    <col min="30" max="30" width="9.5703125" customWidth="1"/>
    <col min="31" max="31" width="11.5703125" style="236" customWidth="1"/>
    <col min="32" max="32" width="11.140625" style="236" customWidth="1"/>
    <col min="33" max="33" width="9.140625" style="236" customWidth="1"/>
    <col min="40" max="43" width="0" hidden="1" customWidth="1"/>
    <col min="44" max="44" width="13.42578125" hidden="1" customWidth="1"/>
  </cols>
  <sheetData>
    <row r="1" spans="1:44" ht="18.75" x14ac:dyDescent="0.3">
      <c r="A1" s="1034" t="s">
        <v>25</v>
      </c>
      <c r="B1" s="1034"/>
      <c r="C1" s="1034"/>
      <c r="D1" s="1034"/>
      <c r="E1" s="1034"/>
      <c r="F1" s="1034"/>
      <c r="G1" s="1034"/>
      <c r="H1" s="1034"/>
      <c r="I1" s="1034"/>
      <c r="J1" s="1034"/>
      <c r="K1" s="1034"/>
      <c r="L1" s="1034"/>
      <c r="M1" s="1034"/>
      <c r="N1" s="1034"/>
      <c r="O1" s="1034"/>
      <c r="P1" s="1034"/>
      <c r="Q1" s="1034"/>
      <c r="R1" s="1034"/>
      <c r="S1" s="1034"/>
      <c r="T1" s="1034"/>
      <c r="U1" s="1034"/>
      <c r="V1" s="1034"/>
      <c r="W1" s="1034"/>
      <c r="X1" s="1034"/>
      <c r="Y1" s="1034"/>
      <c r="Z1" s="1034"/>
      <c r="AA1" s="1034"/>
      <c r="AB1" s="1034"/>
      <c r="AC1" s="1034"/>
      <c r="AD1" s="1034"/>
    </row>
    <row r="2" spans="1:44" ht="18.75" x14ac:dyDescent="0.3">
      <c r="A2" s="1042" t="s">
        <v>231</v>
      </c>
      <c r="B2" s="1042"/>
      <c r="C2" s="1042"/>
      <c r="D2" s="1042"/>
      <c r="E2" s="1042"/>
      <c r="F2" s="1042"/>
      <c r="G2" s="1042"/>
      <c r="H2" s="1042"/>
      <c r="I2" s="1042"/>
      <c r="J2" s="1042"/>
      <c r="K2" s="1042"/>
      <c r="L2" s="1042"/>
      <c r="M2" s="1042"/>
      <c r="N2" s="1042"/>
      <c r="O2" s="1042"/>
      <c r="P2" s="1042"/>
      <c r="Q2" s="1042"/>
      <c r="R2" s="1042"/>
      <c r="S2" s="1042"/>
      <c r="T2" s="1042"/>
      <c r="U2" s="1042"/>
      <c r="V2" s="1042"/>
      <c r="W2" s="1042"/>
      <c r="X2" s="1042"/>
      <c r="Y2" s="1042"/>
      <c r="Z2" s="1042"/>
      <c r="AA2" s="1042"/>
      <c r="AB2" s="1042"/>
      <c r="AC2" s="1042"/>
      <c r="AD2" s="1042"/>
    </row>
    <row r="3" spans="1:44" ht="18.75" x14ac:dyDescent="0.3">
      <c r="A3" s="1034" t="s">
        <v>103</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row>
    <row r="4" spans="1:44" ht="15.75" customHeight="1" x14ac:dyDescent="0.2">
      <c r="A4" s="1043" t="s">
        <v>39</v>
      </c>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row>
    <row r="5" spans="1:44" ht="15.75" customHeight="1" thickBot="1" x14ac:dyDescent="0.25">
      <c r="A5" s="944"/>
      <c r="B5" s="944"/>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236"/>
      <c r="AD5" s="236"/>
    </row>
    <row r="6" spans="1:44" ht="20.100000000000001" customHeight="1" thickBot="1" x14ac:dyDescent="0.35">
      <c r="A6" s="1053" t="s">
        <v>213</v>
      </c>
      <c r="B6" s="1054"/>
      <c r="C6" s="1054"/>
      <c r="D6" s="1055"/>
      <c r="E6" s="1050" t="s">
        <v>234</v>
      </c>
      <c r="F6" s="1051"/>
      <c r="G6" s="1051"/>
      <c r="H6" s="1051"/>
      <c r="I6" s="1051"/>
      <c r="J6" s="1051"/>
      <c r="K6" s="1051"/>
      <c r="L6" s="1051"/>
      <c r="M6" s="1051"/>
      <c r="N6" s="1051"/>
      <c r="O6" s="1052"/>
      <c r="P6" s="945"/>
      <c r="Q6" s="945"/>
      <c r="R6" s="945"/>
      <c r="S6" s="945"/>
      <c r="T6" s="945"/>
      <c r="U6" s="945"/>
      <c r="V6" s="945"/>
      <c r="W6" s="945"/>
      <c r="X6" s="945"/>
      <c r="Y6" s="945"/>
      <c r="Z6" s="945"/>
      <c r="AA6" s="253"/>
      <c r="AB6" s="253"/>
      <c r="AC6" s="236"/>
      <c r="AD6" s="236"/>
      <c r="AE6" s="225"/>
    </row>
    <row r="7" spans="1:44" ht="20.100000000000001" customHeight="1" thickBot="1" x14ac:dyDescent="0.3">
      <c r="A7" s="1056"/>
      <c r="B7" s="1056"/>
      <c r="C7" s="1056"/>
      <c r="D7" s="1057"/>
      <c r="E7" s="1044" t="s">
        <v>205</v>
      </c>
      <c r="F7" s="1045"/>
      <c r="G7" s="1045"/>
      <c r="H7" s="1045"/>
      <c r="I7" s="1045"/>
      <c r="J7" s="1046"/>
      <c r="K7" s="1044" t="s">
        <v>206</v>
      </c>
      <c r="L7" s="1045"/>
      <c r="M7" s="1045"/>
      <c r="N7" s="1046"/>
      <c r="O7" s="740"/>
      <c r="P7" s="1047" t="s">
        <v>194</v>
      </c>
      <c r="Q7" s="1048"/>
      <c r="R7" s="1048"/>
      <c r="S7" s="1048"/>
      <c r="T7" s="1048"/>
      <c r="U7" s="1048"/>
      <c r="V7" s="1048"/>
      <c r="W7" s="1048"/>
      <c r="X7" s="1048"/>
      <c r="Y7" s="1048"/>
      <c r="Z7" s="1049"/>
      <c r="AA7" s="888"/>
      <c r="AB7" s="888"/>
      <c r="AC7" s="889"/>
      <c r="AD7" s="889"/>
      <c r="AE7" s="952"/>
      <c r="AF7" s="891"/>
    </row>
    <row r="8" spans="1:44" ht="15.75" customHeight="1" x14ac:dyDescent="0.3">
      <c r="A8" s="232"/>
      <c r="B8" s="870" t="s">
        <v>140</v>
      </c>
      <c r="C8" s="871" t="s">
        <v>124</v>
      </c>
      <c r="D8" s="872" t="s">
        <v>102</v>
      </c>
      <c r="E8" s="1037" t="s">
        <v>78</v>
      </c>
      <c r="F8" s="1038"/>
      <c r="G8" s="1038"/>
      <c r="H8" s="1038"/>
      <c r="I8" s="1038"/>
      <c r="J8" s="741"/>
      <c r="K8" s="1037" t="s">
        <v>78</v>
      </c>
      <c r="L8" s="1038"/>
      <c r="M8" s="1038"/>
      <c r="N8" s="741"/>
      <c r="O8" s="867" t="s">
        <v>54</v>
      </c>
      <c r="P8" s="1039"/>
      <c r="Q8" s="1039"/>
      <c r="R8" s="1039"/>
      <c r="S8" s="1039"/>
      <c r="T8" s="1039"/>
      <c r="U8" s="1039"/>
      <c r="V8" s="949"/>
      <c r="W8" s="949"/>
      <c r="X8" s="949"/>
      <c r="Y8" s="949"/>
      <c r="Z8" s="440"/>
      <c r="AA8" s="718"/>
      <c r="AB8" s="892"/>
      <c r="AC8" s="1060" t="s">
        <v>100</v>
      </c>
      <c r="AD8" s="1061"/>
      <c r="AE8" s="1061"/>
      <c r="AF8" s="1062"/>
    </row>
    <row r="9" spans="1:44" s="23" customFormat="1" ht="15.75" customHeight="1" x14ac:dyDescent="0.25">
      <c r="A9" s="55"/>
      <c r="B9" s="873"/>
      <c r="C9" s="874"/>
      <c r="D9" s="681"/>
      <c r="E9" s="742"/>
      <c r="F9" s="742"/>
      <c r="G9" s="855"/>
      <c r="H9" s="856"/>
      <c r="I9" s="743"/>
      <c r="J9" s="744"/>
      <c r="K9" s="875" t="s">
        <v>90</v>
      </c>
      <c r="L9" s="876" t="s">
        <v>94</v>
      </c>
      <c r="M9" s="877" t="s">
        <v>96</v>
      </c>
      <c r="N9" s="745"/>
      <c r="O9" s="868" t="s">
        <v>81</v>
      </c>
      <c r="P9" s="893"/>
      <c r="Q9" s="893"/>
      <c r="R9" s="893"/>
      <c r="S9" s="893"/>
      <c r="T9" s="894"/>
      <c r="U9" s="893"/>
      <c r="V9" s="895"/>
      <c r="W9" s="896"/>
      <c r="X9" s="896"/>
      <c r="Y9" s="897"/>
      <c r="Z9" s="857"/>
      <c r="AA9" s="898" t="s">
        <v>110</v>
      </c>
      <c r="AB9" s="892"/>
      <c r="AC9" s="862"/>
      <c r="AD9" s="863"/>
      <c r="AE9" s="864"/>
      <c r="AF9" s="865"/>
      <c r="AG9" s="241"/>
    </row>
    <row r="10" spans="1:44" ht="15.75" customHeight="1" x14ac:dyDescent="0.25">
      <c r="A10" s="14"/>
      <c r="B10" s="677"/>
      <c r="C10" s="680"/>
      <c r="D10" s="720"/>
      <c r="E10" s="875" t="s">
        <v>41</v>
      </c>
      <c r="F10" s="875" t="s">
        <v>60</v>
      </c>
      <c r="G10" s="1040" t="s">
        <v>34</v>
      </c>
      <c r="H10" s="1041"/>
      <c r="I10" s="860"/>
      <c r="J10" s="878" t="s">
        <v>54</v>
      </c>
      <c r="K10" s="875" t="s">
        <v>91</v>
      </c>
      <c r="L10" s="879" t="s">
        <v>95</v>
      </c>
      <c r="M10" s="880" t="s">
        <v>92</v>
      </c>
      <c r="N10" s="875" t="s">
        <v>76</v>
      </c>
      <c r="O10" s="868" t="s">
        <v>76</v>
      </c>
      <c r="P10" s="899" t="s">
        <v>207</v>
      </c>
      <c r="Q10" s="900"/>
      <c r="R10" s="901"/>
      <c r="S10" s="900"/>
      <c r="T10" s="901"/>
      <c r="U10" s="900"/>
      <c r="V10" s="902"/>
      <c r="W10" s="902"/>
      <c r="X10" s="902"/>
      <c r="Y10" s="903"/>
      <c r="Z10" s="898" t="s">
        <v>56</v>
      </c>
      <c r="AA10" s="898" t="s">
        <v>47</v>
      </c>
      <c r="AB10" s="892"/>
      <c r="AC10" s="1085" t="s">
        <v>189</v>
      </c>
      <c r="AD10" s="1086"/>
      <c r="AE10" s="1063" t="s">
        <v>189</v>
      </c>
      <c r="AF10" s="1064"/>
    </row>
    <row r="11" spans="1:44" ht="16.5" customHeight="1" x14ac:dyDescent="0.25">
      <c r="A11" s="14"/>
      <c r="B11" s="677" t="s">
        <v>70</v>
      </c>
      <c r="C11" s="680" t="s">
        <v>139</v>
      </c>
      <c r="D11" s="720" t="s">
        <v>40</v>
      </c>
      <c r="E11" s="881" t="s">
        <v>26</v>
      </c>
      <c r="F11" s="881" t="s">
        <v>26</v>
      </c>
      <c r="G11" s="746" t="s">
        <v>57</v>
      </c>
      <c r="H11" s="747"/>
      <c r="I11" s="880" t="s">
        <v>35</v>
      </c>
      <c r="J11" s="878" t="s">
        <v>44</v>
      </c>
      <c r="K11" s="875" t="s">
        <v>92</v>
      </c>
      <c r="L11" s="879" t="s">
        <v>71</v>
      </c>
      <c r="M11" s="748" t="s">
        <v>97</v>
      </c>
      <c r="N11" s="875" t="s">
        <v>77</v>
      </c>
      <c r="O11" s="868" t="s">
        <v>82</v>
      </c>
      <c r="P11" s="904" t="s">
        <v>225</v>
      </c>
      <c r="Q11" s="905"/>
      <c r="R11" s="906"/>
      <c r="S11" s="906"/>
      <c r="T11" s="906"/>
      <c r="U11" s="906"/>
      <c r="V11" s="907"/>
      <c r="W11" s="907"/>
      <c r="X11" s="907"/>
      <c r="Y11" s="908"/>
      <c r="Z11" s="898" t="s">
        <v>86</v>
      </c>
      <c r="AA11" s="909" t="s">
        <v>43</v>
      </c>
      <c r="AB11" s="892"/>
      <c r="AC11" s="1083" t="s">
        <v>195</v>
      </c>
      <c r="AD11" s="1084"/>
      <c r="AE11" s="1065" t="s">
        <v>190</v>
      </c>
      <c r="AF11" s="1066"/>
    </row>
    <row r="12" spans="1:44" ht="18" customHeight="1" thickBot="1" x14ac:dyDescent="0.3">
      <c r="A12" s="866" t="s">
        <v>0</v>
      </c>
      <c r="B12" s="678" t="s">
        <v>141</v>
      </c>
      <c r="C12" s="680" t="s">
        <v>46</v>
      </c>
      <c r="D12" s="721" t="s">
        <v>74</v>
      </c>
      <c r="E12" s="749" t="s">
        <v>61</v>
      </c>
      <c r="F12" s="750"/>
      <c r="G12" s="751" t="s">
        <v>49</v>
      </c>
      <c r="H12" s="752" t="s">
        <v>49</v>
      </c>
      <c r="I12" s="882" t="s">
        <v>36</v>
      </c>
      <c r="J12" s="883" t="s">
        <v>27</v>
      </c>
      <c r="K12" s="884" t="s">
        <v>93</v>
      </c>
      <c r="L12" s="885" t="s">
        <v>98</v>
      </c>
      <c r="M12" s="753" t="s">
        <v>93</v>
      </c>
      <c r="N12" s="884" t="s">
        <v>27</v>
      </c>
      <c r="O12" s="869" t="s">
        <v>68</v>
      </c>
      <c r="P12" s="910" t="s">
        <v>226</v>
      </c>
      <c r="Q12" s="911" t="s">
        <v>208</v>
      </c>
      <c r="R12" s="912" t="s">
        <v>227</v>
      </c>
      <c r="S12" s="911" t="s">
        <v>235</v>
      </c>
      <c r="T12" s="912"/>
      <c r="U12" s="911"/>
      <c r="V12" s="913"/>
      <c r="W12" s="913"/>
      <c r="X12" s="913"/>
      <c r="Y12" s="914"/>
      <c r="Z12" s="915" t="s">
        <v>27</v>
      </c>
      <c r="AA12" s="916" t="s">
        <v>83</v>
      </c>
      <c r="AB12" s="892"/>
      <c r="AC12" s="917" t="s">
        <v>28</v>
      </c>
      <c r="AD12" s="918" t="s">
        <v>29</v>
      </c>
      <c r="AE12" s="919" t="s">
        <v>28</v>
      </c>
      <c r="AF12" s="920" t="s">
        <v>29</v>
      </c>
    </row>
    <row r="13" spans="1:44" ht="15.75" x14ac:dyDescent="0.25">
      <c r="A13" s="738" t="s">
        <v>17</v>
      </c>
      <c r="B13" s="679"/>
      <c r="C13" s="662"/>
      <c r="D13" s="682"/>
      <c r="E13" s="754"/>
      <c r="F13" s="755"/>
      <c r="G13" s="754"/>
      <c r="H13" s="756"/>
      <c r="I13" s="757"/>
      <c r="J13" s="758"/>
      <c r="K13" s="759"/>
      <c r="L13" s="760"/>
      <c r="M13" s="761"/>
      <c r="N13" s="759"/>
      <c r="O13" s="762"/>
      <c r="P13" s="921"/>
      <c r="Q13" s="891"/>
      <c r="R13" s="922"/>
      <c r="S13" s="891"/>
      <c r="T13" s="922"/>
      <c r="U13" s="926"/>
      <c r="V13" s="927"/>
      <c r="W13" s="927"/>
      <c r="X13" s="927"/>
      <c r="Y13" s="928"/>
      <c r="Z13" s="886"/>
      <c r="AA13" s="887"/>
      <c r="AB13" s="892"/>
      <c r="AC13" s="923"/>
      <c r="AD13" s="863"/>
      <c r="AE13" s="924"/>
      <c r="AF13" s="925"/>
    </row>
    <row r="14" spans="1:44" ht="15.75" x14ac:dyDescent="0.25">
      <c r="A14" s="688" t="s">
        <v>143</v>
      </c>
      <c r="B14" s="694">
        <v>2291551</v>
      </c>
      <c r="C14" s="376">
        <v>1870405</v>
      </c>
      <c r="D14" s="683">
        <v>1935178</v>
      </c>
      <c r="E14" s="763">
        <f>4898+1744</f>
        <v>6642</v>
      </c>
      <c r="F14" s="764">
        <v>10156</v>
      </c>
      <c r="G14" s="765">
        <v>2423</v>
      </c>
      <c r="H14" s="764">
        <v>23213</v>
      </c>
      <c r="I14" s="766">
        <v>34854</v>
      </c>
      <c r="J14" s="767">
        <f>SUM(E14:I14)</f>
        <v>77288</v>
      </c>
      <c r="K14" s="768">
        <v>75000</v>
      </c>
      <c r="L14" s="769">
        <v>0</v>
      </c>
      <c r="M14" s="766">
        <v>0</v>
      </c>
      <c r="N14" s="770">
        <f>SUM(K14:M14)</f>
        <v>75000</v>
      </c>
      <c r="O14" s="771">
        <f>+J14+N14</f>
        <v>152288</v>
      </c>
      <c r="P14" s="286">
        <v>5000</v>
      </c>
      <c r="Q14" s="58">
        <v>0</v>
      </c>
      <c r="R14" s="293">
        <v>0</v>
      </c>
      <c r="S14" s="58">
        <v>0</v>
      </c>
      <c r="T14" s="293">
        <v>0</v>
      </c>
      <c r="U14" s="83">
        <v>0</v>
      </c>
      <c r="V14" s="293">
        <v>0</v>
      </c>
      <c r="W14" s="293">
        <v>0</v>
      </c>
      <c r="X14" s="293">
        <v>0</v>
      </c>
      <c r="Y14" s="934">
        <v>0</v>
      </c>
      <c r="Z14" s="425">
        <f>SUM(P14:Y14)</f>
        <v>5000</v>
      </c>
      <c r="AA14" s="416">
        <f>+D14+Z14</f>
        <v>1940178</v>
      </c>
      <c r="AB14" s="853"/>
      <c r="AC14" s="722">
        <f>AA14-D14</f>
        <v>5000</v>
      </c>
      <c r="AD14" s="723">
        <f>IF(D14=0,0,AC14/D14)</f>
        <v>2.5837416506388558E-3</v>
      </c>
      <c r="AE14" s="702">
        <f>AA14-B14</f>
        <v>-351373</v>
      </c>
      <c r="AF14" s="706">
        <f>AE14/B14</f>
        <v>-0.15333413919218905</v>
      </c>
      <c r="AN14" s="207">
        <f>+AM14-AL14</f>
        <v>0</v>
      </c>
      <c r="AR14" s="95">
        <v>314221804</v>
      </c>
    </row>
    <row r="15" spans="1:44" ht="15.75" customHeight="1" x14ac:dyDescent="0.25">
      <c r="A15" s="263" t="s">
        <v>2</v>
      </c>
      <c r="B15" s="694">
        <v>251885</v>
      </c>
      <c r="C15" s="376">
        <v>179751</v>
      </c>
      <c r="D15" s="683">
        <v>182597</v>
      </c>
      <c r="E15" s="763">
        <f>587+205</f>
        <v>792</v>
      </c>
      <c r="F15" s="764">
        <v>1066</v>
      </c>
      <c r="G15" s="765">
        <v>57</v>
      </c>
      <c r="H15" s="764">
        <v>1999</v>
      </c>
      <c r="I15" s="766">
        <v>3266</v>
      </c>
      <c r="J15" s="767">
        <f>SUM(E15:I15)</f>
        <v>7180</v>
      </c>
      <c r="K15" s="768">
        <v>0</v>
      </c>
      <c r="L15" s="769">
        <v>0</v>
      </c>
      <c r="M15" s="766">
        <v>0</v>
      </c>
      <c r="N15" s="770">
        <f>SUM(K15:M15)</f>
        <v>0</v>
      </c>
      <c r="O15" s="771">
        <f>+J15+N15</f>
        <v>7180</v>
      </c>
      <c r="P15" s="286">
        <v>0</v>
      </c>
      <c r="Q15" s="58">
        <v>0</v>
      </c>
      <c r="R15" s="293">
        <v>0</v>
      </c>
      <c r="S15" s="58">
        <v>6000</v>
      </c>
      <c r="T15" s="293">
        <v>0</v>
      </c>
      <c r="U15" s="83">
        <v>0</v>
      </c>
      <c r="V15" s="293">
        <v>0</v>
      </c>
      <c r="W15" s="293">
        <v>0</v>
      </c>
      <c r="X15" s="293">
        <v>0</v>
      </c>
      <c r="Y15" s="934">
        <v>0</v>
      </c>
      <c r="Z15" s="425">
        <f t="shared" ref="Z15:Z18" si="0">SUM(P15:Y15)</f>
        <v>6000</v>
      </c>
      <c r="AA15" s="416">
        <f t="shared" ref="AA15:AA18" si="1">+D15+Z15</f>
        <v>188597</v>
      </c>
      <c r="AB15" s="853"/>
      <c r="AC15" s="722">
        <f t="shared" ref="AC15:AC18" si="2">AA15-D15</f>
        <v>6000</v>
      </c>
      <c r="AD15" s="723">
        <f t="shared" ref="AD15:AD18" si="3">IF(D15=0,0,AC15/D15)</f>
        <v>3.2859247413703399E-2</v>
      </c>
      <c r="AE15" s="702">
        <f t="shared" ref="AE15:AE18" si="4">AA15-B15</f>
        <v>-63288</v>
      </c>
      <c r="AF15" s="706">
        <f t="shared" ref="AF15:AF16" si="5">AE15/B15</f>
        <v>-0.25125751831192805</v>
      </c>
      <c r="AN15" s="207">
        <f>+AM15-AL15</f>
        <v>0</v>
      </c>
      <c r="AR15" s="95">
        <v>29863402</v>
      </c>
    </row>
    <row r="16" spans="1:44" ht="15.75" x14ac:dyDescent="0.25">
      <c r="A16" s="263" t="s">
        <v>3</v>
      </c>
      <c r="B16" s="694">
        <v>207791</v>
      </c>
      <c r="C16" s="376">
        <v>82654</v>
      </c>
      <c r="D16" s="683">
        <v>94080</v>
      </c>
      <c r="E16" s="763">
        <f>212+74</f>
        <v>286</v>
      </c>
      <c r="F16" s="764">
        <v>530</v>
      </c>
      <c r="G16" s="765">
        <v>20</v>
      </c>
      <c r="H16" s="764">
        <v>1048</v>
      </c>
      <c r="I16" s="766">
        <v>1521</v>
      </c>
      <c r="J16" s="767">
        <f>SUM(E16:I16)</f>
        <v>3405</v>
      </c>
      <c r="K16" s="768">
        <v>0</v>
      </c>
      <c r="L16" s="769">
        <v>0</v>
      </c>
      <c r="M16" s="766">
        <v>0</v>
      </c>
      <c r="N16" s="770">
        <f>SUM(K16:M16)</f>
        <v>0</v>
      </c>
      <c r="O16" s="771">
        <f>+J16+N16</f>
        <v>3405</v>
      </c>
      <c r="P16" s="286">
        <v>0</v>
      </c>
      <c r="Q16" s="58">
        <v>0</v>
      </c>
      <c r="R16" s="293">
        <v>0</v>
      </c>
      <c r="S16" s="58">
        <v>0</v>
      </c>
      <c r="T16" s="293">
        <v>0</v>
      </c>
      <c r="U16" s="83">
        <v>0</v>
      </c>
      <c r="V16" s="293">
        <v>0</v>
      </c>
      <c r="W16" s="293">
        <v>0</v>
      </c>
      <c r="X16" s="293">
        <v>0</v>
      </c>
      <c r="Y16" s="934">
        <v>0</v>
      </c>
      <c r="Z16" s="425">
        <f t="shared" si="0"/>
        <v>0</v>
      </c>
      <c r="AA16" s="416">
        <f t="shared" si="1"/>
        <v>94080</v>
      </c>
      <c r="AB16" s="853"/>
      <c r="AC16" s="722">
        <f t="shared" si="2"/>
        <v>0</v>
      </c>
      <c r="AD16" s="723">
        <f>IF(D16=0,0,AC16/D16)</f>
        <v>0</v>
      </c>
      <c r="AE16" s="702">
        <f t="shared" si="4"/>
        <v>-113711</v>
      </c>
      <c r="AF16" s="706">
        <f t="shared" si="5"/>
        <v>-0.54723736831720338</v>
      </c>
      <c r="AN16" s="207">
        <f>+AM16-AL16</f>
        <v>0</v>
      </c>
      <c r="AR16" s="95">
        <v>11174379</v>
      </c>
    </row>
    <row r="17" spans="1:44" ht="15.75" x14ac:dyDescent="0.25">
      <c r="A17" s="263" t="s">
        <v>4</v>
      </c>
      <c r="B17" s="694">
        <v>327759</v>
      </c>
      <c r="C17" s="376">
        <v>205593</v>
      </c>
      <c r="D17" s="683">
        <v>218353</v>
      </c>
      <c r="E17" s="763">
        <f>170+55</f>
        <v>225</v>
      </c>
      <c r="F17" s="764">
        <v>1414</v>
      </c>
      <c r="G17" s="765">
        <v>31</v>
      </c>
      <c r="H17" s="764">
        <v>3373</v>
      </c>
      <c r="I17" s="766">
        <v>4087</v>
      </c>
      <c r="J17" s="767">
        <f>SUM(E17:I17)</f>
        <v>9130</v>
      </c>
      <c r="K17" s="768">
        <v>0</v>
      </c>
      <c r="L17" s="769">
        <v>0</v>
      </c>
      <c r="M17" s="766">
        <v>0</v>
      </c>
      <c r="N17" s="770">
        <f>SUM(K17:M17)</f>
        <v>0</v>
      </c>
      <c r="O17" s="771">
        <f>+J17+N17</f>
        <v>9130</v>
      </c>
      <c r="P17" s="286">
        <v>0</v>
      </c>
      <c r="Q17" s="58">
        <v>0</v>
      </c>
      <c r="R17" s="293">
        <v>0</v>
      </c>
      <c r="S17" s="58">
        <v>0</v>
      </c>
      <c r="T17" s="293">
        <v>0</v>
      </c>
      <c r="U17" s="83">
        <v>0</v>
      </c>
      <c r="V17" s="293">
        <v>0</v>
      </c>
      <c r="W17" s="293">
        <v>0</v>
      </c>
      <c r="X17" s="293">
        <v>0</v>
      </c>
      <c r="Y17" s="934">
        <v>0</v>
      </c>
      <c r="Z17" s="425">
        <f t="shared" si="0"/>
        <v>0</v>
      </c>
      <c r="AA17" s="416">
        <f t="shared" si="1"/>
        <v>218353</v>
      </c>
      <c r="AB17" s="853"/>
      <c r="AC17" s="722">
        <f t="shared" si="2"/>
        <v>0</v>
      </c>
      <c r="AD17" s="723">
        <f t="shared" si="3"/>
        <v>0</v>
      </c>
      <c r="AE17" s="702">
        <f t="shared" si="4"/>
        <v>-109406</v>
      </c>
      <c r="AF17" s="706">
        <f>AE17/B17</f>
        <v>-0.33380013973681882</v>
      </c>
      <c r="AN17" s="207">
        <f>+AM17-AL17</f>
        <v>0</v>
      </c>
      <c r="AR17" s="95">
        <v>31324734</v>
      </c>
    </row>
    <row r="18" spans="1:44" ht="15.75" x14ac:dyDescent="0.25">
      <c r="A18" s="263" t="s">
        <v>84</v>
      </c>
      <c r="B18" s="694">
        <v>1244706</v>
      </c>
      <c r="C18" s="376">
        <v>914139</v>
      </c>
      <c r="D18" s="683">
        <v>928830</v>
      </c>
      <c r="E18" s="763">
        <v>0</v>
      </c>
      <c r="F18" s="764">
        <v>0</v>
      </c>
      <c r="G18" s="765">
        <v>0</v>
      </c>
      <c r="H18" s="764">
        <v>37382</v>
      </c>
      <c r="I18" s="766">
        <v>17721</v>
      </c>
      <c r="J18" s="767">
        <f>SUM(E18:I18)</f>
        <v>55103</v>
      </c>
      <c r="K18" s="768">
        <v>0</v>
      </c>
      <c r="L18" s="769">
        <v>0</v>
      </c>
      <c r="M18" s="766">
        <v>0</v>
      </c>
      <c r="N18" s="770">
        <f>SUM(K18:M18)</f>
        <v>0</v>
      </c>
      <c r="O18" s="771">
        <f>+J18+N18</f>
        <v>55103</v>
      </c>
      <c r="P18" s="286">
        <v>0</v>
      </c>
      <c r="Q18" s="58">
        <v>0</v>
      </c>
      <c r="R18" s="293">
        <v>0</v>
      </c>
      <c r="S18" s="58">
        <v>0</v>
      </c>
      <c r="T18" s="293">
        <v>0</v>
      </c>
      <c r="U18" s="83">
        <v>0</v>
      </c>
      <c r="V18" s="293">
        <v>0</v>
      </c>
      <c r="W18" s="293">
        <v>0</v>
      </c>
      <c r="X18" s="293">
        <v>0</v>
      </c>
      <c r="Y18" s="934">
        <v>0</v>
      </c>
      <c r="Z18" s="425">
        <f t="shared" si="0"/>
        <v>0</v>
      </c>
      <c r="AA18" s="416">
        <f t="shared" si="1"/>
        <v>928830</v>
      </c>
      <c r="AB18" s="853"/>
      <c r="AC18" s="722">
        <f t="shared" si="2"/>
        <v>0</v>
      </c>
      <c r="AD18" s="723">
        <f t="shared" si="3"/>
        <v>0</v>
      </c>
      <c r="AE18" s="702">
        <f t="shared" si="4"/>
        <v>-315876</v>
      </c>
      <c r="AF18" s="711">
        <f>AE18/B18</f>
        <v>-0.253775590380379</v>
      </c>
      <c r="AN18" s="207"/>
      <c r="AR18" s="95">
        <v>85416008</v>
      </c>
    </row>
    <row r="19" spans="1:44" ht="15.75" x14ac:dyDescent="0.25">
      <c r="A19" s="264" t="s">
        <v>21</v>
      </c>
      <c r="B19" s="695">
        <f>SUM(B14:B18)</f>
        <v>4323692</v>
      </c>
      <c r="C19" s="663">
        <f t="shared" ref="C19:AA19" si="6">SUM(C14:C18)</f>
        <v>3252542</v>
      </c>
      <c r="D19" s="422">
        <f t="shared" si="6"/>
        <v>3359038</v>
      </c>
      <c r="E19" s="772">
        <f t="shared" si="6"/>
        <v>7945</v>
      </c>
      <c r="F19" s="773">
        <f t="shared" si="6"/>
        <v>13166</v>
      </c>
      <c r="G19" s="774">
        <f t="shared" si="6"/>
        <v>2531</v>
      </c>
      <c r="H19" s="775">
        <f t="shared" si="6"/>
        <v>67015</v>
      </c>
      <c r="I19" s="776">
        <f t="shared" si="6"/>
        <v>61449</v>
      </c>
      <c r="J19" s="777">
        <f t="shared" si="6"/>
        <v>152106</v>
      </c>
      <c r="K19" s="772">
        <f t="shared" si="6"/>
        <v>75000</v>
      </c>
      <c r="L19" s="778">
        <f>SUM(L14:L18)</f>
        <v>0</v>
      </c>
      <c r="M19" s="779">
        <f t="shared" si="6"/>
        <v>0</v>
      </c>
      <c r="N19" s="780">
        <f t="shared" si="6"/>
        <v>75000</v>
      </c>
      <c r="O19" s="781">
        <f t="shared" si="6"/>
        <v>227106</v>
      </c>
      <c r="P19" s="287">
        <f t="shared" si="6"/>
        <v>5000</v>
      </c>
      <c r="Q19" s="272">
        <f t="shared" si="6"/>
        <v>0</v>
      </c>
      <c r="R19" s="294">
        <f t="shared" si="6"/>
        <v>0</v>
      </c>
      <c r="S19" s="272">
        <f t="shared" si="6"/>
        <v>6000</v>
      </c>
      <c r="T19" s="294">
        <f t="shared" si="6"/>
        <v>0</v>
      </c>
      <c r="U19" s="931">
        <f t="shared" si="6"/>
        <v>0</v>
      </c>
      <c r="V19" s="294"/>
      <c r="W19" s="294"/>
      <c r="X19" s="294"/>
      <c r="Y19" s="935"/>
      <c r="Z19" s="422">
        <f t="shared" si="6"/>
        <v>11000</v>
      </c>
      <c r="AA19" s="417">
        <f t="shared" si="6"/>
        <v>3370038</v>
      </c>
      <c r="AB19" s="853"/>
      <c r="AC19" s="724">
        <f>SUM(AC14:AC18)</f>
        <v>11000</v>
      </c>
      <c r="AD19" s="725">
        <f>IF(B19=0,0,AC19/B19)</f>
        <v>2.5441220142415327E-3</v>
      </c>
      <c r="AE19" s="701">
        <f>SUM(AE14:AE18)</f>
        <v>-953654</v>
      </c>
      <c r="AF19" s="707">
        <f>AE19/B19</f>
        <v>-0.22056473957904493</v>
      </c>
      <c r="AN19" s="123">
        <f>SUM(AN14:AN18)</f>
        <v>0</v>
      </c>
      <c r="AR19" s="96">
        <f>SUM(AR14:AR18)</f>
        <v>472000327</v>
      </c>
    </row>
    <row r="20" spans="1:44" ht="15.75" x14ac:dyDescent="0.25">
      <c r="A20" s="263" t="s">
        <v>6</v>
      </c>
      <c r="B20" s="694">
        <v>104891</v>
      </c>
      <c r="C20" s="376">
        <v>77498</v>
      </c>
      <c r="D20" s="683">
        <v>78701</v>
      </c>
      <c r="E20" s="765">
        <f>224+78</f>
        <v>302</v>
      </c>
      <c r="F20" s="764">
        <v>494</v>
      </c>
      <c r="G20" s="765">
        <v>27</v>
      </c>
      <c r="H20" s="764">
        <v>2031</v>
      </c>
      <c r="I20" s="766">
        <v>1432</v>
      </c>
      <c r="J20" s="767">
        <f>SUM(E20:I20)</f>
        <v>4286</v>
      </c>
      <c r="K20" s="768">
        <v>0</v>
      </c>
      <c r="L20" s="769">
        <v>0</v>
      </c>
      <c r="M20" s="766">
        <v>0</v>
      </c>
      <c r="N20" s="770">
        <f>SUM(K20:M20)</f>
        <v>0</v>
      </c>
      <c r="O20" s="771">
        <f>+J20+N20</f>
        <v>4286</v>
      </c>
      <c r="P20" s="286">
        <v>0</v>
      </c>
      <c r="Q20" s="58">
        <v>0</v>
      </c>
      <c r="R20" s="293">
        <v>0</v>
      </c>
      <c r="S20" s="58">
        <v>0</v>
      </c>
      <c r="T20" s="293">
        <v>0</v>
      </c>
      <c r="U20" s="83">
        <v>0</v>
      </c>
      <c r="V20" s="293">
        <v>0</v>
      </c>
      <c r="W20" s="293">
        <v>0</v>
      </c>
      <c r="X20" s="293">
        <v>0</v>
      </c>
      <c r="Y20" s="934">
        <v>0</v>
      </c>
      <c r="Z20" s="425">
        <f>SUM(P20:Y20)</f>
        <v>0</v>
      </c>
      <c r="AA20" s="416">
        <f>+D20+Z20</f>
        <v>78701</v>
      </c>
      <c r="AB20" s="853"/>
      <c r="AC20" s="722">
        <f>AA20-D20</f>
        <v>0</v>
      </c>
      <c r="AD20" s="723">
        <f>IF(D20=0,0,AC20/D20)</f>
        <v>0</v>
      </c>
      <c r="AE20" s="702">
        <f>AA20-B20</f>
        <v>-26190</v>
      </c>
      <c r="AF20" s="706">
        <f>AE20/B20</f>
        <v>-0.2496877711147763</v>
      </c>
      <c r="AN20" s="207">
        <f>+AM20-AL20</f>
        <v>0</v>
      </c>
      <c r="AR20" s="95">
        <v>9878519</v>
      </c>
    </row>
    <row r="21" spans="1:44" ht="15.75" x14ac:dyDescent="0.25">
      <c r="A21" s="263" t="s">
        <v>7</v>
      </c>
      <c r="B21" s="694">
        <v>35927</v>
      </c>
      <c r="C21" s="376">
        <v>18313</v>
      </c>
      <c r="D21" s="683">
        <v>18663</v>
      </c>
      <c r="E21" s="765">
        <f>31+10</f>
        <v>41</v>
      </c>
      <c r="F21" s="764">
        <v>134</v>
      </c>
      <c r="G21" s="765">
        <v>2</v>
      </c>
      <c r="H21" s="764">
        <v>596</v>
      </c>
      <c r="I21" s="766">
        <v>344</v>
      </c>
      <c r="J21" s="767">
        <f>SUM(E21:I21)</f>
        <v>1117</v>
      </c>
      <c r="K21" s="768">
        <v>0</v>
      </c>
      <c r="L21" s="769">
        <v>0</v>
      </c>
      <c r="M21" s="766">
        <v>0</v>
      </c>
      <c r="N21" s="770">
        <f>SUM(K21:M21)</f>
        <v>0</v>
      </c>
      <c r="O21" s="771">
        <f>+J21+N21</f>
        <v>1117</v>
      </c>
      <c r="P21" s="286">
        <v>0</v>
      </c>
      <c r="Q21" s="58">
        <v>0</v>
      </c>
      <c r="R21" s="293">
        <v>0</v>
      </c>
      <c r="S21" s="58">
        <v>0</v>
      </c>
      <c r="T21" s="293">
        <v>0</v>
      </c>
      <c r="U21" s="83">
        <v>0</v>
      </c>
      <c r="V21" s="293">
        <v>0</v>
      </c>
      <c r="W21" s="293">
        <v>0</v>
      </c>
      <c r="X21" s="293">
        <v>0</v>
      </c>
      <c r="Y21" s="934">
        <v>0</v>
      </c>
      <c r="Z21" s="425">
        <f t="shared" ref="Z21:Z23" si="7">SUM(P21:Y21)</f>
        <v>0</v>
      </c>
      <c r="AA21" s="416">
        <f t="shared" ref="AA21:AA23" si="8">+D21+Z21</f>
        <v>18663</v>
      </c>
      <c r="AB21" s="853"/>
      <c r="AC21" s="722">
        <f t="shared" ref="AC21:AC23" si="9">AA21-D21</f>
        <v>0</v>
      </c>
      <c r="AD21" s="723">
        <f t="shared" ref="AD21:AD23" si="10">IF(D21=0,0,AC21/D21)</f>
        <v>0</v>
      </c>
      <c r="AE21" s="702">
        <f t="shared" ref="AE21:AE23" si="11">AA21-B21</f>
        <v>-17264</v>
      </c>
      <c r="AF21" s="706">
        <f t="shared" ref="AF21:AF23" si="12">AE21/B21</f>
        <v>-0.48052996353717259</v>
      </c>
      <c r="AN21" s="207">
        <f>+AM21-AL21</f>
        <v>0</v>
      </c>
      <c r="AR21" s="95">
        <v>2461441</v>
      </c>
    </row>
    <row r="22" spans="1:44" ht="15.75" x14ac:dyDescent="0.25">
      <c r="A22" s="263" t="s">
        <v>8</v>
      </c>
      <c r="B22" s="694">
        <v>92166</v>
      </c>
      <c r="C22" s="376">
        <v>58906</v>
      </c>
      <c r="D22" s="683">
        <v>60325</v>
      </c>
      <c r="E22" s="765">
        <f>6+1</f>
        <v>7</v>
      </c>
      <c r="F22" s="764">
        <v>493</v>
      </c>
      <c r="G22" s="765">
        <v>1</v>
      </c>
      <c r="H22" s="764">
        <v>2336</v>
      </c>
      <c r="I22" s="766">
        <v>1123</v>
      </c>
      <c r="J22" s="767">
        <f>SUM(E22:I22)</f>
        <v>3960</v>
      </c>
      <c r="K22" s="768">
        <v>0</v>
      </c>
      <c r="L22" s="769">
        <v>0</v>
      </c>
      <c r="M22" s="766">
        <v>0</v>
      </c>
      <c r="N22" s="770">
        <f>SUM(K22:M22)</f>
        <v>0</v>
      </c>
      <c r="O22" s="771">
        <f>+J22+N22</f>
        <v>3960</v>
      </c>
      <c r="P22" s="286">
        <v>0</v>
      </c>
      <c r="Q22" s="58">
        <v>0</v>
      </c>
      <c r="R22" s="293">
        <v>0</v>
      </c>
      <c r="S22" s="58">
        <v>0</v>
      </c>
      <c r="T22" s="293">
        <v>0</v>
      </c>
      <c r="U22" s="83">
        <v>0</v>
      </c>
      <c r="V22" s="293">
        <v>0</v>
      </c>
      <c r="W22" s="293">
        <v>0</v>
      </c>
      <c r="X22" s="293">
        <v>0</v>
      </c>
      <c r="Y22" s="934">
        <v>0</v>
      </c>
      <c r="Z22" s="425">
        <f t="shared" si="7"/>
        <v>0</v>
      </c>
      <c r="AA22" s="416">
        <f>+D22+Z22</f>
        <v>60325</v>
      </c>
      <c r="AB22" s="853"/>
      <c r="AC22" s="722">
        <f t="shared" si="9"/>
        <v>0</v>
      </c>
      <c r="AD22" s="723">
        <f t="shared" si="10"/>
        <v>0</v>
      </c>
      <c r="AE22" s="702">
        <f t="shared" si="11"/>
        <v>-31841</v>
      </c>
      <c r="AF22" s="706">
        <f t="shared" si="12"/>
        <v>-0.34547446997808301</v>
      </c>
      <c r="AN22" s="207"/>
      <c r="AR22" s="95">
        <v>4243368</v>
      </c>
    </row>
    <row r="23" spans="1:44" ht="15.75" x14ac:dyDescent="0.25">
      <c r="A23" s="263" t="s">
        <v>9</v>
      </c>
      <c r="B23" s="694">
        <v>2068</v>
      </c>
      <c r="C23" s="376">
        <v>1950</v>
      </c>
      <c r="D23" s="683">
        <v>2041</v>
      </c>
      <c r="E23" s="765">
        <v>0</v>
      </c>
      <c r="F23" s="764">
        <v>17</v>
      </c>
      <c r="G23" s="765">
        <v>0</v>
      </c>
      <c r="H23" s="764">
        <v>74</v>
      </c>
      <c r="I23" s="766">
        <v>35</v>
      </c>
      <c r="J23" s="767">
        <f>SUM(E23:I23)</f>
        <v>126</v>
      </c>
      <c r="K23" s="768">
        <v>0</v>
      </c>
      <c r="L23" s="769">
        <v>0</v>
      </c>
      <c r="M23" s="766">
        <v>0</v>
      </c>
      <c r="N23" s="770">
        <f>SUM(K23:M23)</f>
        <v>0</v>
      </c>
      <c r="O23" s="771">
        <f>+J23+N23</f>
        <v>126</v>
      </c>
      <c r="P23" s="286">
        <v>0</v>
      </c>
      <c r="Q23" s="58">
        <v>0</v>
      </c>
      <c r="R23" s="293">
        <v>0</v>
      </c>
      <c r="S23" s="58">
        <v>0</v>
      </c>
      <c r="T23" s="293">
        <v>0</v>
      </c>
      <c r="U23" s="83">
        <v>0</v>
      </c>
      <c r="V23" s="293">
        <v>0</v>
      </c>
      <c r="W23" s="293">
        <v>0</v>
      </c>
      <c r="X23" s="293">
        <v>0</v>
      </c>
      <c r="Y23" s="934">
        <v>0</v>
      </c>
      <c r="Z23" s="425">
        <f t="shared" si="7"/>
        <v>0</v>
      </c>
      <c r="AA23" s="416">
        <f t="shared" si="8"/>
        <v>2041</v>
      </c>
      <c r="AB23" s="853"/>
      <c r="AC23" s="722">
        <f t="shared" si="9"/>
        <v>0</v>
      </c>
      <c r="AD23" s="723">
        <f t="shared" si="10"/>
        <v>0</v>
      </c>
      <c r="AE23" s="702">
        <f t="shared" si="11"/>
        <v>-27</v>
      </c>
      <c r="AF23" s="706">
        <f t="shared" si="12"/>
        <v>-1.3056092843326886E-2</v>
      </c>
      <c r="AN23" s="207"/>
      <c r="AR23" s="95">
        <v>1826000</v>
      </c>
    </row>
    <row r="24" spans="1:44" ht="15.75" x14ac:dyDescent="0.25">
      <c r="A24" s="264" t="s">
        <v>24</v>
      </c>
      <c r="B24" s="695">
        <f>SUM(B20:B23)</f>
        <v>235052</v>
      </c>
      <c r="C24" s="663">
        <f t="shared" ref="C24:AA24" si="13">SUM(C20:C23)</f>
        <v>156667</v>
      </c>
      <c r="D24" s="422">
        <f t="shared" si="13"/>
        <v>159730</v>
      </c>
      <c r="E24" s="772">
        <f t="shared" si="13"/>
        <v>350</v>
      </c>
      <c r="F24" s="773">
        <f t="shared" si="13"/>
        <v>1138</v>
      </c>
      <c r="G24" s="774">
        <f t="shared" si="13"/>
        <v>30</v>
      </c>
      <c r="H24" s="775">
        <f t="shared" si="13"/>
        <v>5037</v>
      </c>
      <c r="I24" s="776">
        <f t="shared" si="13"/>
        <v>2934</v>
      </c>
      <c r="J24" s="777">
        <f t="shared" si="13"/>
        <v>9489</v>
      </c>
      <c r="K24" s="772">
        <f t="shared" si="13"/>
        <v>0</v>
      </c>
      <c r="L24" s="778">
        <f>SUM(L20:L23)</f>
        <v>0</v>
      </c>
      <c r="M24" s="779">
        <f t="shared" si="13"/>
        <v>0</v>
      </c>
      <c r="N24" s="780">
        <f t="shared" si="13"/>
        <v>0</v>
      </c>
      <c r="O24" s="781">
        <f t="shared" si="13"/>
        <v>9489</v>
      </c>
      <c r="P24" s="287">
        <f t="shared" si="13"/>
        <v>0</v>
      </c>
      <c r="Q24" s="272">
        <f t="shared" si="13"/>
        <v>0</v>
      </c>
      <c r="R24" s="294">
        <f t="shared" si="13"/>
        <v>0</v>
      </c>
      <c r="S24" s="272">
        <f t="shared" si="13"/>
        <v>0</v>
      </c>
      <c r="T24" s="294">
        <f t="shared" si="13"/>
        <v>0</v>
      </c>
      <c r="U24" s="931">
        <f t="shared" si="13"/>
        <v>0</v>
      </c>
      <c r="V24" s="294"/>
      <c r="W24" s="294"/>
      <c r="X24" s="294"/>
      <c r="Y24" s="935"/>
      <c r="Z24" s="422">
        <f t="shared" si="13"/>
        <v>0</v>
      </c>
      <c r="AA24" s="417">
        <f t="shared" si="13"/>
        <v>159730</v>
      </c>
      <c r="AB24" s="853"/>
      <c r="AC24" s="724">
        <f>SUM(AC20:AC23)</f>
        <v>0</v>
      </c>
      <c r="AD24" s="726">
        <f>IF(B24=0,0,AC24/B24)</f>
        <v>0</v>
      </c>
      <c r="AE24" s="701">
        <f>SUM(AE20:AE23)</f>
        <v>-75322</v>
      </c>
      <c r="AF24" s="707">
        <f>AE24/B24</f>
        <v>-0.32044824124023619</v>
      </c>
      <c r="AN24" s="123">
        <f>SUM(AN20:AN23)</f>
        <v>0</v>
      </c>
      <c r="AR24" s="96">
        <f>SUM(AR20:AR23)</f>
        <v>18409328</v>
      </c>
    </row>
    <row r="25" spans="1:44" ht="15.75" x14ac:dyDescent="0.25">
      <c r="A25" s="263" t="s">
        <v>10</v>
      </c>
      <c r="B25" s="694">
        <v>67321</v>
      </c>
      <c r="C25" s="376">
        <v>44741</v>
      </c>
      <c r="D25" s="683">
        <v>47678</v>
      </c>
      <c r="E25" s="765">
        <f>16+5</f>
        <v>21</v>
      </c>
      <c r="F25" s="764">
        <v>244</v>
      </c>
      <c r="G25" s="765">
        <v>65</v>
      </c>
      <c r="H25" s="764">
        <v>1470</v>
      </c>
      <c r="I25" s="766">
        <v>785</v>
      </c>
      <c r="J25" s="767">
        <f>SUM(E25:I25)</f>
        <v>2585</v>
      </c>
      <c r="K25" s="765">
        <v>0</v>
      </c>
      <c r="L25" s="782">
        <v>0</v>
      </c>
      <c r="M25" s="766">
        <v>0</v>
      </c>
      <c r="N25" s="770">
        <f>SUM(K25:M25)</f>
        <v>0</v>
      </c>
      <c r="O25" s="771">
        <f>+J25+N25</f>
        <v>2585</v>
      </c>
      <c r="P25" s="286">
        <v>0</v>
      </c>
      <c r="Q25" s="58">
        <v>10000</v>
      </c>
      <c r="R25" s="293">
        <v>0</v>
      </c>
      <c r="S25" s="58">
        <v>0</v>
      </c>
      <c r="T25" s="293">
        <v>0</v>
      </c>
      <c r="U25" s="83">
        <v>0</v>
      </c>
      <c r="V25" s="293">
        <v>0</v>
      </c>
      <c r="W25" s="293">
        <v>0</v>
      </c>
      <c r="X25" s="293">
        <v>0</v>
      </c>
      <c r="Y25" s="934">
        <v>0</v>
      </c>
      <c r="Z25" s="425">
        <f>SUM(P25:Y25)</f>
        <v>10000</v>
      </c>
      <c r="AA25" s="416">
        <f>+D25+Z25</f>
        <v>57678</v>
      </c>
      <c r="AB25" s="853"/>
      <c r="AC25" s="722">
        <f>AA25-D25</f>
        <v>10000</v>
      </c>
      <c r="AD25" s="723">
        <f>IF(D25=0,0,AC25/D25)</f>
        <v>0.20974034145727588</v>
      </c>
      <c r="AE25" s="702">
        <f>AA25-B25</f>
        <v>-9643</v>
      </c>
      <c r="AF25" s="706">
        <f>AE25/B25</f>
        <v>-0.14323910815347365</v>
      </c>
      <c r="AN25" s="207"/>
      <c r="AR25" s="95">
        <v>0</v>
      </c>
    </row>
    <row r="26" spans="1:44" ht="15.75" x14ac:dyDescent="0.25">
      <c r="A26" s="263" t="s">
        <v>11</v>
      </c>
      <c r="B26" s="694">
        <v>62436</v>
      </c>
      <c r="C26" s="376">
        <v>43342</v>
      </c>
      <c r="D26" s="683">
        <v>49345</v>
      </c>
      <c r="E26" s="765">
        <f>14+4</f>
        <v>18</v>
      </c>
      <c r="F26" s="764">
        <v>0</v>
      </c>
      <c r="G26" s="765">
        <v>985</v>
      </c>
      <c r="H26" s="764">
        <v>0</v>
      </c>
      <c r="I26" s="766">
        <v>0</v>
      </c>
      <c r="J26" s="767">
        <f>SUM(E26:I26)</f>
        <v>1003</v>
      </c>
      <c r="K26" s="765">
        <v>0</v>
      </c>
      <c r="L26" s="782">
        <v>0</v>
      </c>
      <c r="M26" s="766">
        <v>0</v>
      </c>
      <c r="N26" s="770">
        <f>SUM(K26:M26)</f>
        <v>0</v>
      </c>
      <c r="O26" s="771">
        <f>+J26+N26</f>
        <v>1003</v>
      </c>
      <c r="P26" s="286">
        <v>0</v>
      </c>
      <c r="Q26" s="58">
        <v>0</v>
      </c>
      <c r="R26" s="293">
        <v>4000</v>
      </c>
      <c r="S26" s="58">
        <v>0</v>
      </c>
      <c r="T26" s="293">
        <v>0</v>
      </c>
      <c r="U26" s="83">
        <v>0</v>
      </c>
      <c r="V26" s="293">
        <v>0</v>
      </c>
      <c r="W26" s="293">
        <v>0</v>
      </c>
      <c r="X26" s="293">
        <v>0</v>
      </c>
      <c r="Y26" s="934">
        <v>0</v>
      </c>
      <c r="Z26" s="425">
        <f t="shared" ref="Z26:Z29" si="14">SUM(P26:Y26)</f>
        <v>4000</v>
      </c>
      <c r="AA26" s="416">
        <f t="shared" ref="AA26:AA29" si="15">+D26+Z26</f>
        <v>53345</v>
      </c>
      <c r="AB26" s="853"/>
      <c r="AC26" s="722">
        <f t="shared" ref="AC26:AC29" si="16">AA26-D26</f>
        <v>4000</v>
      </c>
      <c r="AD26" s="723">
        <f t="shared" ref="AD26:AD29" si="17">IF(D26=0,0,AC26/D26)</f>
        <v>8.1061911034552639E-2</v>
      </c>
      <c r="AE26" s="702">
        <f t="shared" ref="AE26:AE29" si="18">AA26-B26</f>
        <v>-9091</v>
      </c>
      <c r="AF26" s="706">
        <f t="shared" ref="AF26:AF29" si="19">AE26/B26</f>
        <v>-0.14560509962201293</v>
      </c>
      <c r="AN26" s="207">
        <f>+AM26-AL26</f>
        <v>0</v>
      </c>
      <c r="AR26" s="95">
        <v>0</v>
      </c>
    </row>
    <row r="27" spans="1:44" ht="15.75" x14ac:dyDescent="0.25">
      <c r="A27" s="263" t="s">
        <v>12</v>
      </c>
      <c r="B27" s="694">
        <v>2487.6</v>
      </c>
      <c r="C27" s="376">
        <v>0</v>
      </c>
      <c r="D27" s="683">
        <v>2465</v>
      </c>
      <c r="E27" s="765">
        <v>0</v>
      </c>
      <c r="F27" s="764">
        <v>0</v>
      </c>
      <c r="G27" s="765">
        <v>46</v>
      </c>
      <c r="H27" s="764">
        <v>0</v>
      </c>
      <c r="I27" s="766">
        <v>0</v>
      </c>
      <c r="J27" s="767">
        <f>SUM(E27:I27)</f>
        <v>46</v>
      </c>
      <c r="K27" s="765">
        <v>0</v>
      </c>
      <c r="L27" s="782">
        <v>0</v>
      </c>
      <c r="M27" s="766">
        <v>0</v>
      </c>
      <c r="N27" s="770">
        <f>SUM(K27:M27)</f>
        <v>0</v>
      </c>
      <c r="O27" s="771">
        <f>+J27+N27</f>
        <v>46</v>
      </c>
      <c r="P27" s="286">
        <v>0</v>
      </c>
      <c r="Q27" s="58">
        <v>0</v>
      </c>
      <c r="R27" s="293">
        <v>0</v>
      </c>
      <c r="S27" s="58">
        <v>0</v>
      </c>
      <c r="T27" s="293">
        <v>0</v>
      </c>
      <c r="U27" s="83">
        <v>0</v>
      </c>
      <c r="V27" s="293">
        <v>0</v>
      </c>
      <c r="W27" s="293">
        <v>0</v>
      </c>
      <c r="X27" s="293">
        <v>0</v>
      </c>
      <c r="Y27" s="934">
        <v>0</v>
      </c>
      <c r="Z27" s="425">
        <f t="shared" si="14"/>
        <v>0</v>
      </c>
      <c r="AA27" s="416">
        <f t="shared" si="15"/>
        <v>2465</v>
      </c>
      <c r="AB27" s="853"/>
      <c r="AC27" s="722">
        <f t="shared" si="16"/>
        <v>0</v>
      </c>
      <c r="AD27" s="723">
        <f t="shared" si="17"/>
        <v>0</v>
      </c>
      <c r="AE27" s="702">
        <f t="shared" si="18"/>
        <v>-22.599999999999909</v>
      </c>
      <c r="AF27" s="706">
        <f t="shared" si="19"/>
        <v>-9.0850619070589767E-3</v>
      </c>
      <c r="AN27" s="207">
        <f>+AM27-AL27</f>
        <v>0</v>
      </c>
      <c r="AR27" s="95">
        <v>0</v>
      </c>
    </row>
    <row r="28" spans="1:44" ht="15.75" x14ac:dyDescent="0.25">
      <c r="A28" s="263" t="s">
        <v>13</v>
      </c>
      <c r="B28" s="694">
        <v>75662</v>
      </c>
      <c r="C28" s="376">
        <v>72338</v>
      </c>
      <c r="D28" s="683">
        <v>70420</v>
      </c>
      <c r="E28" s="765">
        <f>345+121</f>
        <v>466</v>
      </c>
      <c r="F28" s="764">
        <v>175</v>
      </c>
      <c r="G28" s="765">
        <v>641</v>
      </c>
      <c r="H28" s="764">
        <v>0</v>
      </c>
      <c r="I28" s="766">
        <v>0</v>
      </c>
      <c r="J28" s="767">
        <f>SUM(E28:I28)</f>
        <v>1282</v>
      </c>
      <c r="K28" s="765">
        <v>0</v>
      </c>
      <c r="L28" s="782">
        <v>0</v>
      </c>
      <c r="M28" s="766">
        <v>0</v>
      </c>
      <c r="N28" s="770">
        <f>SUM(K28:M28)</f>
        <v>0</v>
      </c>
      <c r="O28" s="771">
        <f>+J28+N28</f>
        <v>1282</v>
      </c>
      <c r="P28" s="286">
        <v>0</v>
      </c>
      <c r="Q28" s="58">
        <v>0</v>
      </c>
      <c r="R28" s="293">
        <v>0</v>
      </c>
      <c r="S28" s="58">
        <v>0</v>
      </c>
      <c r="T28" s="293">
        <v>0</v>
      </c>
      <c r="U28" s="83">
        <v>0</v>
      </c>
      <c r="V28" s="293">
        <v>0</v>
      </c>
      <c r="W28" s="293">
        <v>0</v>
      </c>
      <c r="X28" s="293">
        <v>0</v>
      </c>
      <c r="Y28" s="934">
        <v>0</v>
      </c>
      <c r="Z28" s="425">
        <f t="shared" si="14"/>
        <v>0</v>
      </c>
      <c r="AA28" s="416">
        <f t="shared" si="15"/>
        <v>70420</v>
      </c>
      <c r="AB28" s="853"/>
      <c r="AC28" s="722">
        <f t="shared" si="16"/>
        <v>0</v>
      </c>
      <c r="AD28" s="723">
        <f t="shared" si="17"/>
        <v>0</v>
      </c>
      <c r="AE28" s="702">
        <f t="shared" si="18"/>
        <v>-5242</v>
      </c>
      <c r="AF28" s="706">
        <f t="shared" si="19"/>
        <v>-6.9281805926356688E-2</v>
      </c>
      <c r="AN28" s="207"/>
      <c r="AR28" s="95">
        <v>4672306</v>
      </c>
    </row>
    <row r="29" spans="1:44" ht="15.75" x14ac:dyDescent="0.25">
      <c r="A29" s="263" t="s">
        <v>30</v>
      </c>
      <c r="B29" s="694">
        <v>5825</v>
      </c>
      <c r="C29" s="376">
        <v>4735</v>
      </c>
      <c r="D29" s="683">
        <v>5786</v>
      </c>
      <c r="E29" s="765">
        <f>15+5</f>
        <v>20</v>
      </c>
      <c r="F29" s="764">
        <v>0</v>
      </c>
      <c r="G29" s="765">
        <v>82</v>
      </c>
      <c r="H29" s="764">
        <v>0</v>
      </c>
      <c r="I29" s="766">
        <v>0</v>
      </c>
      <c r="J29" s="767">
        <f>SUM(E29:I29)</f>
        <v>102</v>
      </c>
      <c r="K29" s="765">
        <v>0</v>
      </c>
      <c r="L29" s="782">
        <v>0</v>
      </c>
      <c r="M29" s="766">
        <v>0</v>
      </c>
      <c r="N29" s="770">
        <f>SUM(K29:M29)</f>
        <v>0</v>
      </c>
      <c r="O29" s="771">
        <f>+J29+N29</f>
        <v>102</v>
      </c>
      <c r="P29" s="286">
        <v>0</v>
      </c>
      <c r="Q29" s="58">
        <v>0</v>
      </c>
      <c r="R29" s="293">
        <v>0</v>
      </c>
      <c r="S29" s="58">
        <v>0</v>
      </c>
      <c r="T29" s="293">
        <v>0</v>
      </c>
      <c r="U29" s="83">
        <v>0</v>
      </c>
      <c r="V29" s="293">
        <v>0</v>
      </c>
      <c r="W29" s="293">
        <v>0</v>
      </c>
      <c r="X29" s="293">
        <v>0</v>
      </c>
      <c r="Y29" s="934">
        <v>0</v>
      </c>
      <c r="Z29" s="425">
        <f t="shared" si="14"/>
        <v>0</v>
      </c>
      <c r="AA29" s="416">
        <f t="shared" si="15"/>
        <v>5786</v>
      </c>
      <c r="AB29" s="853"/>
      <c r="AC29" s="722">
        <f t="shared" si="16"/>
        <v>0</v>
      </c>
      <c r="AD29" s="723">
        <f t="shared" si="17"/>
        <v>0</v>
      </c>
      <c r="AE29" s="702">
        <f t="shared" si="18"/>
        <v>-39</v>
      </c>
      <c r="AF29" s="706">
        <f t="shared" si="19"/>
        <v>-6.6952789699570815E-3</v>
      </c>
      <c r="AN29" s="207">
        <f>+AM29-AL29</f>
        <v>0</v>
      </c>
      <c r="AR29" s="95">
        <v>0</v>
      </c>
    </row>
    <row r="30" spans="1:44" ht="15.75" x14ac:dyDescent="0.25">
      <c r="A30" s="18" t="s">
        <v>22</v>
      </c>
      <c r="B30" s="696">
        <f>SUM(B25:B29)</f>
        <v>213731.6</v>
      </c>
      <c r="C30" s="375">
        <f t="shared" ref="C30:AA30" si="20">SUM(C25:C29)</f>
        <v>165156</v>
      </c>
      <c r="D30" s="423">
        <f t="shared" si="20"/>
        <v>175694</v>
      </c>
      <c r="E30" s="783">
        <f t="shared" si="20"/>
        <v>525</v>
      </c>
      <c r="F30" s="784">
        <f t="shared" si="20"/>
        <v>419</v>
      </c>
      <c r="G30" s="783">
        <f t="shared" si="20"/>
        <v>1819</v>
      </c>
      <c r="H30" s="784">
        <f t="shared" si="20"/>
        <v>1470</v>
      </c>
      <c r="I30" s="785">
        <f t="shared" si="20"/>
        <v>785</v>
      </c>
      <c r="J30" s="786">
        <f t="shared" si="20"/>
        <v>5018</v>
      </c>
      <c r="K30" s="783">
        <f t="shared" si="20"/>
        <v>0</v>
      </c>
      <c r="L30" s="787">
        <f t="shared" si="20"/>
        <v>0</v>
      </c>
      <c r="M30" s="785">
        <f t="shared" si="20"/>
        <v>0</v>
      </c>
      <c r="N30" s="788">
        <f t="shared" si="20"/>
        <v>0</v>
      </c>
      <c r="O30" s="789">
        <f t="shared" si="20"/>
        <v>5018</v>
      </c>
      <c r="P30" s="288">
        <f t="shared" si="20"/>
        <v>0</v>
      </c>
      <c r="Q30" s="139">
        <f t="shared" si="20"/>
        <v>10000</v>
      </c>
      <c r="R30" s="295">
        <f t="shared" si="20"/>
        <v>4000</v>
      </c>
      <c r="S30" s="139">
        <f t="shared" si="20"/>
        <v>0</v>
      </c>
      <c r="T30" s="295">
        <f t="shared" si="20"/>
        <v>0</v>
      </c>
      <c r="U30" s="932">
        <f>SUM(U25:U29)</f>
        <v>0</v>
      </c>
      <c r="V30" s="295">
        <f t="shared" ref="V30:Y30" si="21">SUM(V25:V29)</f>
        <v>0</v>
      </c>
      <c r="W30" s="295">
        <f t="shared" si="21"/>
        <v>0</v>
      </c>
      <c r="X30" s="295">
        <f t="shared" si="21"/>
        <v>0</v>
      </c>
      <c r="Y30" s="936">
        <f t="shared" si="21"/>
        <v>0</v>
      </c>
      <c r="Z30" s="423">
        <f t="shared" si="20"/>
        <v>14000</v>
      </c>
      <c r="AA30" s="417">
        <f t="shared" si="20"/>
        <v>189694</v>
      </c>
      <c r="AB30" s="853"/>
      <c r="AC30" s="724">
        <f>SUM(AC25:AC29)</f>
        <v>14000</v>
      </c>
      <c r="AD30" s="727">
        <f>IF(B30=0,0,AC30/B30)</f>
        <v>6.550271461964445E-2</v>
      </c>
      <c r="AE30" s="704">
        <f>SUM(AE25:AE29)</f>
        <v>-24037.599999999999</v>
      </c>
      <c r="AF30" s="708">
        <f>AE30/B30</f>
        <v>-0.11246628949579753</v>
      </c>
      <c r="AN30" s="238">
        <f>SUM(AN25:AN29)</f>
        <v>0</v>
      </c>
      <c r="AR30" s="97">
        <f>SUM(AR25:AR29)</f>
        <v>4672306</v>
      </c>
    </row>
    <row r="31" spans="1:44" ht="15.75" x14ac:dyDescent="0.25">
      <c r="A31" s="19" t="s">
        <v>20</v>
      </c>
      <c r="B31" s="697">
        <f>SUM(B30+B24+B19)</f>
        <v>4772475.5999999996</v>
      </c>
      <c r="C31" s="370">
        <f t="shared" ref="C31:K31" si="22">+C19+C24+C30</f>
        <v>3574365</v>
      </c>
      <c r="D31" s="424">
        <f t="shared" si="22"/>
        <v>3694462</v>
      </c>
      <c r="E31" s="790">
        <f t="shared" si="22"/>
        <v>8820</v>
      </c>
      <c r="F31" s="791">
        <f t="shared" si="22"/>
        <v>14723</v>
      </c>
      <c r="G31" s="792">
        <f t="shared" si="22"/>
        <v>4380</v>
      </c>
      <c r="H31" s="791">
        <f t="shared" si="22"/>
        <v>73522</v>
      </c>
      <c r="I31" s="793">
        <f t="shared" si="22"/>
        <v>65168</v>
      </c>
      <c r="J31" s="794">
        <f t="shared" si="22"/>
        <v>166613</v>
      </c>
      <c r="K31" s="790">
        <f t="shared" si="22"/>
        <v>75000</v>
      </c>
      <c r="L31" s="795">
        <f>+L19+L24+L30</f>
        <v>0</v>
      </c>
      <c r="M31" s="796">
        <f t="shared" ref="M31:AA31" si="23">+M19+M24+M30</f>
        <v>0</v>
      </c>
      <c r="N31" s="797">
        <f t="shared" si="23"/>
        <v>75000</v>
      </c>
      <c r="O31" s="798">
        <f t="shared" si="23"/>
        <v>241613</v>
      </c>
      <c r="P31" s="289">
        <f t="shared" si="23"/>
        <v>5000</v>
      </c>
      <c r="Q31" s="269">
        <f t="shared" si="23"/>
        <v>10000</v>
      </c>
      <c r="R31" s="296">
        <f t="shared" si="23"/>
        <v>4000</v>
      </c>
      <c r="S31" s="269">
        <f t="shared" si="23"/>
        <v>6000</v>
      </c>
      <c r="T31" s="296">
        <f t="shared" si="23"/>
        <v>0</v>
      </c>
      <c r="U31" s="933">
        <f>+U19+U24+U30</f>
        <v>0</v>
      </c>
      <c r="V31" s="296">
        <f t="shared" ref="V31:Y31" si="24">+V19+V24+V30</f>
        <v>0</v>
      </c>
      <c r="W31" s="296">
        <f t="shared" si="24"/>
        <v>0</v>
      </c>
      <c r="X31" s="296">
        <f t="shared" si="24"/>
        <v>0</v>
      </c>
      <c r="Y31" s="937">
        <f t="shared" si="24"/>
        <v>0</v>
      </c>
      <c r="Z31" s="424">
        <f t="shared" si="23"/>
        <v>25000</v>
      </c>
      <c r="AA31" s="418">
        <f t="shared" si="23"/>
        <v>3719462</v>
      </c>
      <c r="AB31" s="853"/>
      <c r="AC31" s="728">
        <f>+AC19+AC24+AC30</f>
        <v>25000</v>
      </c>
      <c r="AD31" s="729">
        <f t="shared" ref="AD31" si="25">IF(B31=0,0,AC31/B31)</f>
        <v>5.2383714649059708E-3</v>
      </c>
      <c r="AE31" s="703">
        <f>SUM(AE30+AE24+AE19)</f>
        <v>-1053013.6000000001</v>
      </c>
      <c r="AF31" s="709">
        <f>AE31/B31</f>
        <v>-0.22064305577591642</v>
      </c>
      <c r="AN31" s="260">
        <f>+AN19+AN24+AN30</f>
        <v>0</v>
      </c>
      <c r="AR31" s="98">
        <f>+AR19+AR24+AR30</f>
        <v>495081961</v>
      </c>
    </row>
    <row r="32" spans="1:44" ht="15.75" x14ac:dyDescent="0.25">
      <c r="A32" s="16"/>
      <c r="B32" s="698"/>
      <c r="C32" s="376"/>
      <c r="D32" s="425"/>
      <c r="E32" s="799"/>
      <c r="F32" s="800"/>
      <c r="G32" s="801"/>
      <c r="H32" s="764"/>
      <c r="I32" s="802"/>
      <c r="J32" s="767"/>
      <c r="K32" s="765"/>
      <c r="L32" s="782"/>
      <c r="M32" s="766"/>
      <c r="N32" s="770"/>
      <c r="O32" s="771"/>
      <c r="P32" s="286"/>
      <c r="Q32" s="58"/>
      <c r="R32" s="293"/>
      <c r="S32" s="58"/>
      <c r="T32" s="293"/>
      <c r="U32" s="58"/>
      <c r="V32" s="207"/>
      <c r="W32" s="207"/>
      <c r="X32" s="207"/>
      <c r="Y32" s="207"/>
      <c r="Z32" s="425"/>
      <c r="AA32" s="416"/>
      <c r="AB32" s="853"/>
      <c r="AC32" s="730"/>
      <c r="AD32" s="723"/>
      <c r="AE32" s="702"/>
      <c r="AF32" s="706"/>
      <c r="AN32" s="207"/>
      <c r="AR32" s="95"/>
    </row>
    <row r="33" spans="1:44" ht="15.75" x14ac:dyDescent="0.25">
      <c r="A33" s="973" t="s">
        <v>18</v>
      </c>
      <c r="B33" s="698"/>
      <c r="C33" s="376"/>
      <c r="D33" s="425"/>
      <c r="E33" s="765"/>
      <c r="F33" s="822"/>
      <c r="G33" s="801"/>
      <c r="H33" s="764"/>
      <c r="I33" s="802"/>
      <c r="J33" s="767"/>
      <c r="K33" s="765"/>
      <c r="L33" s="782"/>
      <c r="M33" s="766"/>
      <c r="N33" s="770"/>
      <c r="O33" s="771"/>
      <c r="P33" s="286"/>
      <c r="Q33" s="58"/>
      <c r="R33" s="293"/>
      <c r="S33" s="58"/>
      <c r="T33" s="293"/>
      <c r="U33" s="58"/>
      <c r="V33" s="207"/>
      <c r="W33" s="207"/>
      <c r="X33" s="207"/>
      <c r="Y33" s="207"/>
      <c r="Z33" s="425"/>
      <c r="AA33" s="419"/>
      <c r="AB33" s="853"/>
      <c r="AC33" s="734"/>
      <c r="AD33" s="723"/>
      <c r="AE33" s="702"/>
      <c r="AF33" s="706"/>
      <c r="AN33" s="207"/>
      <c r="AR33" s="95"/>
    </row>
    <row r="34" spans="1:44" ht="15.75" x14ac:dyDescent="0.25">
      <c r="A34" s="16" t="s">
        <v>15</v>
      </c>
      <c r="B34" s="698">
        <v>106426</v>
      </c>
      <c r="C34" s="376">
        <v>60000</v>
      </c>
      <c r="D34" s="425">
        <v>75745</v>
      </c>
      <c r="E34" s="763">
        <v>0</v>
      </c>
      <c r="F34" s="764">
        <v>0</v>
      </c>
      <c r="G34" s="765">
        <v>1872</v>
      </c>
      <c r="H34" s="764">
        <v>0</v>
      </c>
      <c r="I34" s="766">
        <v>1604</v>
      </c>
      <c r="J34" s="767">
        <f>SUM(E34:I34)</f>
        <v>3476</v>
      </c>
      <c r="K34" s="765">
        <v>0</v>
      </c>
      <c r="L34" s="782">
        <v>0</v>
      </c>
      <c r="M34" s="766">
        <v>0</v>
      </c>
      <c r="N34" s="770">
        <f>SUM(K34:M34)</f>
        <v>0</v>
      </c>
      <c r="O34" s="771">
        <f>+J34+N34</f>
        <v>3476</v>
      </c>
      <c r="P34" s="286">
        <v>0</v>
      </c>
      <c r="Q34" s="58">
        <v>0</v>
      </c>
      <c r="R34" s="293">
        <v>0</v>
      </c>
      <c r="S34" s="58">
        <v>0</v>
      </c>
      <c r="T34" s="293">
        <v>0</v>
      </c>
      <c r="U34" s="58">
        <v>0</v>
      </c>
      <c r="V34" s="293">
        <v>0</v>
      </c>
      <c r="W34" s="293">
        <v>0</v>
      </c>
      <c r="X34" s="293">
        <v>0</v>
      </c>
      <c r="Y34" s="934">
        <v>0</v>
      </c>
      <c r="Z34" s="425">
        <f>SUM(P34:Y34)</f>
        <v>0</v>
      </c>
      <c r="AA34" s="416">
        <f>+D34+Z34</f>
        <v>75745</v>
      </c>
      <c r="AB34" s="853"/>
      <c r="AC34" s="722">
        <f>AA34-D34</f>
        <v>0</v>
      </c>
      <c r="AD34" s="723">
        <f>IF(D34=0,0,AC34/D34)</f>
        <v>0</v>
      </c>
      <c r="AE34" s="702">
        <f>AA34-B34</f>
        <v>-30681</v>
      </c>
      <c r="AF34" s="706">
        <f>AE34/B34</f>
        <v>-0.28828481761975455</v>
      </c>
      <c r="AN34" s="207"/>
      <c r="AR34" s="95"/>
    </row>
    <row r="35" spans="1:44" ht="15.75" x14ac:dyDescent="0.25">
      <c r="A35" s="16" t="s">
        <v>31</v>
      </c>
      <c r="B35" s="698">
        <v>147276</v>
      </c>
      <c r="C35" s="376">
        <v>75423</v>
      </c>
      <c r="D35" s="425">
        <v>101772</v>
      </c>
      <c r="E35" s="763">
        <v>0</v>
      </c>
      <c r="F35" s="764">
        <v>0</v>
      </c>
      <c r="G35" s="765">
        <v>2349</v>
      </c>
      <c r="H35" s="764">
        <v>0</v>
      </c>
      <c r="I35" s="766">
        <v>2072</v>
      </c>
      <c r="J35" s="767">
        <f>SUM(E35:I35)</f>
        <v>4421</v>
      </c>
      <c r="K35" s="765">
        <v>0</v>
      </c>
      <c r="L35" s="782">
        <v>0</v>
      </c>
      <c r="M35" s="766">
        <v>0</v>
      </c>
      <c r="N35" s="770">
        <f>SUM(K35:M35)</f>
        <v>0</v>
      </c>
      <c r="O35" s="771">
        <f>+J35+N35</f>
        <v>4421</v>
      </c>
      <c r="P35" s="286">
        <v>0</v>
      </c>
      <c r="Q35" s="58">
        <v>0</v>
      </c>
      <c r="R35" s="293">
        <v>0</v>
      </c>
      <c r="S35" s="58">
        <v>0</v>
      </c>
      <c r="T35" s="293">
        <v>0</v>
      </c>
      <c r="U35" s="58">
        <v>0</v>
      </c>
      <c r="V35" s="293">
        <v>0</v>
      </c>
      <c r="W35" s="293">
        <v>0</v>
      </c>
      <c r="X35" s="293">
        <v>0</v>
      </c>
      <c r="Y35" s="934">
        <v>0</v>
      </c>
      <c r="Z35" s="425">
        <f t="shared" ref="Z35:Z38" si="26">SUM(P35:Y35)</f>
        <v>0</v>
      </c>
      <c r="AA35" s="416">
        <f t="shared" ref="AA35:AA38" si="27">+D35+Z35</f>
        <v>101772</v>
      </c>
      <c r="AB35" s="853"/>
      <c r="AC35" s="722">
        <f t="shared" ref="AC35:AC38" si="28">AA35-D35</f>
        <v>0</v>
      </c>
      <c r="AD35" s="723">
        <f t="shared" ref="AD35:AD38" si="29">IF(D35=0,0,AC35/D35)</f>
        <v>0</v>
      </c>
      <c r="AE35" s="702">
        <f t="shared" ref="AE35:AE38" si="30">AA35-B35</f>
        <v>-45504</v>
      </c>
      <c r="AF35" s="706">
        <f t="shared" ref="AF35:AF38" si="31">AE35/B35</f>
        <v>-0.30897091175751651</v>
      </c>
      <c r="AN35" s="207"/>
      <c r="AR35" s="95"/>
    </row>
    <row r="36" spans="1:44" ht="15.75" x14ac:dyDescent="0.25">
      <c r="A36" s="16" t="s">
        <v>32</v>
      </c>
      <c r="B36" s="698">
        <v>249470</v>
      </c>
      <c r="C36" s="376">
        <v>100000</v>
      </c>
      <c r="D36" s="425">
        <v>117991</v>
      </c>
      <c r="E36" s="763">
        <v>0</v>
      </c>
      <c r="F36" s="764">
        <v>0</v>
      </c>
      <c r="G36" s="765">
        <v>3886</v>
      </c>
      <c r="H36" s="764">
        <v>0</v>
      </c>
      <c r="I36" s="766">
        <v>0</v>
      </c>
      <c r="J36" s="767">
        <f>SUM(E36:I36)</f>
        <v>3886</v>
      </c>
      <c r="K36" s="765">
        <v>0</v>
      </c>
      <c r="L36" s="782">
        <v>0</v>
      </c>
      <c r="M36" s="766">
        <v>100000</v>
      </c>
      <c r="N36" s="770">
        <f>SUM(K36:M36)</f>
        <v>100000</v>
      </c>
      <c r="O36" s="771">
        <f>+J36+N36</f>
        <v>103886</v>
      </c>
      <c r="P36" s="286">
        <v>0</v>
      </c>
      <c r="Q36" s="58">
        <v>0</v>
      </c>
      <c r="R36" s="293">
        <v>0</v>
      </c>
      <c r="S36" s="58">
        <v>0</v>
      </c>
      <c r="T36" s="293">
        <v>0</v>
      </c>
      <c r="U36" s="58">
        <v>0</v>
      </c>
      <c r="V36" s="293">
        <v>0</v>
      </c>
      <c r="W36" s="293">
        <v>0</v>
      </c>
      <c r="X36" s="293">
        <v>0</v>
      </c>
      <c r="Y36" s="934">
        <v>0</v>
      </c>
      <c r="Z36" s="425">
        <f t="shared" si="26"/>
        <v>0</v>
      </c>
      <c r="AA36" s="416">
        <f t="shared" si="27"/>
        <v>117991</v>
      </c>
      <c r="AB36" s="853"/>
      <c r="AC36" s="722">
        <f t="shared" si="28"/>
        <v>0</v>
      </c>
      <c r="AD36" s="723">
        <f t="shared" si="29"/>
        <v>0</v>
      </c>
      <c r="AE36" s="702">
        <f t="shared" si="30"/>
        <v>-131479</v>
      </c>
      <c r="AF36" s="706">
        <f t="shared" si="31"/>
        <v>-0.52703331061851122</v>
      </c>
      <c r="AN36" s="207"/>
      <c r="AR36" s="95"/>
    </row>
    <row r="37" spans="1:44" ht="15.75" x14ac:dyDescent="0.25">
      <c r="A37" s="16" t="s">
        <v>33</v>
      </c>
      <c r="B37" s="698">
        <v>244296</v>
      </c>
      <c r="C37" s="376">
        <v>192022</v>
      </c>
      <c r="D37" s="425">
        <v>226950</v>
      </c>
      <c r="E37" s="763">
        <f>975+338</f>
        <v>1313</v>
      </c>
      <c r="F37" s="764">
        <v>1127</v>
      </c>
      <c r="G37" s="765">
        <v>1910</v>
      </c>
      <c r="H37" s="764">
        <v>1012</v>
      </c>
      <c r="I37" s="766">
        <v>4084</v>
      </c>
      <c r="J37" s="767">
        <f>SUM(E37:I37)</f>
        <v>9446</v>
      </c>
      <c r="K37" s="768">
        <v>0</v>
      </c>
      <c r="L37" s="769">
        <v>0</v>
      </c>
      <c r="M37" s="766">
        <v>0</v>
      </c>
      <c r="N37" s="770">
        <f>SUM(K37:M37)</f>
        <v>0</v>
      </c>
      <c r="O37" s="771">
        <f>+J37+N37</f>
        <v>9446</v>
      </c>
      <c r="P37" s="286">
        <v>0</v>
      </c>
      <c r="Q37" s="58">
        <v>0</v>
      </c>
      <c r="R37" s="293">
        <v>0</v>
      </c>
      <c r="S37" s="58">
        <v>0</v>
      </c>
      <c r="T37" s="293">
        <v>0</v>
      </c>
      <c r="U37" s="58">
        <v>0</v>
      </c>
      <c r="V37" s="293">
        <v>0</v>
      </c>
      <c r="W37" s="293">
        <v>0</v>
      </c>
      <c r="X37" s="293">
        <v>0</v>
      </c>
      <c r="Y37" s="934">
        <v>0</v>
      </c>
      <c r="Z37" s="425">
        <f t="shared" si="26"/>
        <v>0</v>
      </c>
      <c r="AA37" s="416">
        <f t="shared" si="27"/>
        <v>226950</v>
      </c>
      <c r="AB37" s="853"/>
      <c r="AC37" s="722">
        <f t="shared" si="28"/>
        <v>0</v>
      </c>
      <c r="AD37" s="723">
        <f t="shared" si="29"/>
        <v>0</v>
      </c>
      <c r="AE37" s="702">
        <f t="shared" si="30"/>
        <v>-17346</v>
      </c>
      <c r="AF37" s="706">
        <f t="shared" si="31"/>
        <v>-7.1004027900579622E-2</v>
      </c>
      <c r="AN37" s="207"/>
      <c r="AR37" s="95">
        <v>0</v>
      </c>
    </row>
    <row r="38" spans="1:44" ht="15.75" x14ac:dyDescent="0.25">
      <c r="A38" s="16" t="s">
        <v>16</v>
      </c>
      <c r="B38" s="698">
        <v>56180</v>
      </c>
      <c r="C38" s="376">
        <v>19511</v>
      </c>
      <c r="D38" s="425">
        <v>22966</v>
      </c>
      <c r="E38" s="763">
        <v>0</v>
      </c>
      <c r="F38" s="764">
        <v>0</v>
      </c>
      <c r="G38" s="765">
        <v>33</v>
      </c>
      <c r="H38" s="823">
        <v>825</v>
      </c>
      <c r="I38" s="766">
        <v>424</v>
      </c>
      <c r="J38" s="767">
        <f>SUM(E38:I38)</f>
        <v>1282</v>
      </c>
      <c r="K38" s="765">
        <v>0</v>
      </c>
      <c r="L38" s="782">
        <v>0</v>
      </c>
      <c r="M38" s="766">
        <v>0</v>
      </c>
      <c r="N38" s="770">
        <f>SUM(K38:M38)</f>
        <v>0</v>
      </c>
      <c r="O38" s="771">
        <f>+J38+N38</f>
        <v>1282</v>
      </c>
      <c r="P38" s="286">
        <v>0</v>
      </c>
      <c r="Q38" s="58">
        <v>0</v>
      </c>
      <c r="R38" s="293">
        <v>0</v>
      </c>
      <c r="S38" s="58">
        <v>0</v>
      </c>
      <c r="T38" s="293">
        <v>0</v>
      </c>
      <c r="U38" s="58">
        <v>0</v>
      </c>
      <c r="V38" s="938">
        <v>0</v>
      </c>
      <c r="W38" s="938">
        <v>0</v>
      </c>
      <c r="X38" s="938">
        <v>0</v>
      </c>
      <c r="Y38" s="939">
        <v>0</v>
      </c>
      <c r="Z38" s="425">
        <f t="shared" si="26"/>
        <v>0</v>
      </c>
      <c r="AA38" s="416">
        <f t="shared" si="27"/>
        <v>22966</v>
      </c>
      <c r="AB38" s="853"/>
      <c r="AC38" s="722">
        <f t="shared" si="28"/>
        <v>0</v>
      </c>
      <c r="AD38" s="723">
        <f t="shared" si="29"/>
        <v>0</v>
      </c>
      <c r="AE38" s="702">
        <f t="shared" si="30"/>
        <v>-33214</v>
      </c>
      <c r="AF38" s="706">
        <f t="shared" si="31"/>
        <v>-0.59120683517265926</v>
      </c>
      <c r="AN38" s="207"/>
      <c r="AR38" s="95">
        <v>0</v>
      </c>
    </row>
    <row r="39" spans="1:44" ht="15.75" x14ac:dyDescent="0.25">
      <c r="A39" s="19" t="s">
        <v>19</v>
      </c>
      <c r="B39" s="697">
        <f t="shared" ref="B39:AA39" si="32">SUM(B34:B38)</f>
        <v>803648</v>
      </c>
      <c r="C39" s="370">
        <f t="shared" si="32"/>
        <v>446956</v>
      </c>
      <c r="D39" s="687">
        <f t="shared" si="32"/>
        <v>545424</v>
      </c>
      <c r="E39" s="790">
        <f t="shared" si="32"/>
        <v>1313</v>
      </c>
      <c r="F39" s="791">
        <f t="shared" si="32"/>
        <v>1127</v>
      </c>
      <c r="G39" s="792">
        <f t="shared" si="32"/>
        <v>10050</v>
      </c>
      <c r="H39" s="824">
        <f t="shared" si="32"/>
        <v>1837</v>
      </c>
      <c r="I39" s="793">
        <f t="shared" si="32"/>
        <v>8184</v>
      </c>
      <c r="J39" s="794">
        <f t="shared" si="32"/>
        <v>22511</v>
      </c>
      <c r="K39" s="790">
        <f t="shared" si="32"/>
        <v>0</v>
      </c>
      <c r="L39" s="795">
        <f>SUM(L34:L38)</f>
        <v>0</v>
      </c>
      <c r="M39" s="796">
        <f t="shared" si="32"/>
        <v>100000</v>
      </c>
      <c r="N39" s="797">
        <f t="shared" si="32"/>
        <v>100000</v>
      </c>
      <c r="O39" s="798">
        <f t="shared" si="32"/>
        <v>122511</v>
      </c>
      <c r="P39" s="289">
        <f t="shared" si="32"/>
        <v>0</v>
      </c>
      <c r="Q39" s="269">
        <f t="shared" si="32"/>
        <v>0</v>
      </c>
      <c r="R39" s="296">
        <f t="shared" si="32"/>
        <v>0</v>
      </c>
      <c r="S39" s="269">
        <f t="shared" si="32"/>
        <v>0</v>
      </c>
      <c r="T39" s="296">
        <f t="shared" si="32"/>
        <v>0</v>
      </c>
      <c r="U39" s="269">
        <f t="shared" si="32"/>
        <v>0</v>
      </c>
      <c r="V39" s="269">
        <f t="shared" si="32"/>
        <v>0</v>
      </c>
      <c r="W39" s="269">
        <f t="shared" si="32"/>
        <v>0</v>
      </c>
      <c r="X39" s="269">
        <f t="shared" si="32"/>
        <v>0</v>
      </c>
      <c r="Y39" s="269">
        <f t="shared" si="32"/>
        <v>0</v>
      </c>
      <c r="Z39" s="424">
        <f t="shared" si="32"/>
        <v>0</v>
      </c>
      <c r="AA39" s="418">
        <f t="shared" si="32"/>
        <v>545424</v>
      </c>
      <c r="AB39" s="853"/>
      <c r="AC39" s="735">
        <f>SUM(AC34:AC38)</f>
        <v>0</v>
      </c>
      <c r="AD39" s="729">
        <f t="shared" ref="AD39" si="33">IF(B39=0,0,AC39/B39)</f>
        <v>0</v>
      </c>
      <c r="AE39" s="703">
        <f>SUM(AE34:AE38)</f>
        <v>-258224</v>
      </c>
      <c r="AF39" s="709">
        <f>AE39/B39</f>
        <v>-0.32131480449151867</v>
      </c>
      <c r="AN39" s="207"/>
      <c r="AR39" s="95">
        <v>0</v>
      </c>
    </row>
    <row r="40" spans="1:44" ht="16.5" thickBot="1" x14ac:dyDescent="0.3">
      <c r="A40" s="21" t="s">
        <v>23</v>
      </c>
      <c r="B40" s="700">
        <f>SUM(B39+B31)</f>
        <v>5576123.5999999996</v>
      </c>
      <c r="C40" s="309">
        <f>+C31+C39</f>
        <v>4021321</v>
      </c>
      <c r="D40" s="427">
        <f>+D31+D39</f>
        <v>4239886</v>
      </c>
      <c r="E40" s="825">
        <f>++E31+E351+E39</f>
        <v>10133</v>
      </c>
      <c r="F40" s="826">
        <f>+F31+F39</f>
        <v>15850</v>
      </c>
      <c r="G40" s="827">
        <f>G31+G39</f>
        <v>14430</v>
      </c>
      <c r="H40" s="828">
        <f>+H31+H39</f>
        <v>75359</v>
      </c>
      <c r="I40" s="829">
        <f>+I31+I39</f>
        <v>73352</v>
      </c>
      <c r="J40" s="830">
        <f>+J31+J39</f>
        <v>189124</v>
      </c>
      <c r="K40" s="825">
        <f>+K31+K44+K39</f>
        <v>75000</v>
      </c>
      <c r="L40" s="831">
        <f>+L31+L44+L39</f>
        <v>100000</v>
      </c>
      <c r="M40" s="832">
        <f>+M31++M44+M39</f>
        <v>100000</v>
      </c>
      <c r="N40" s="833">
        <f>+N31+N44+N39</f>
        <v>275000</v>
      </c>
      <c r="O40" s="834">
        <f>+O31+O44+O39</f>
        <v>464124</v>
      </c>
      <c r="P40" s="970">
        <f t="shared" ref="P40:Y40" si="34">+P31+P39</f>
        <v>5000</v>
      </c>
      <c r="Q40" s="971">
        <f t="shared" si="34"/>
        <v>10000</v>
      </c>
      <c r="R40" s="971">
        <f t="shared" si="34"/>
        <v>4000</v>
      </c>
      <c r="S40" s="971">
        <f t="shared" si="34"/>
        <v>6000</v>
      </c>
      <c r="T40" s="971">
        <f t="shared" si="34"/>
        <v>0</v>
      </c>
      <c r="U40" s="971">
        <f t="shared" si="34"/>
        <v>0</v>
      </c>
      <c r="V40" s="971">
        <f t="shared" si="34"/>
        <v>0</v>
      </c>
      <c r="W40" s="971">
        <f t="shared" si="34"/>
        <v>0</v>
      </c>
      <c r="X40" s="971">
        <f t="shared" si="34"/>
        <v>0</v>
      </c>
      <c r="Y40" s="972">
        <f t="shared" si="34"/>
        <v>0</v>
      </c>
      <c r="Z40" s="427">
        <f>+Z31+Z44+Z39</f>
        <v>25000</v>
      </c>
      <c r="AA40" s="420">
        <f>+AA31+AA39</f>
        <v>4264886</v>
      </c>
      <c r="AB40" s="853"/>
      <c r="AC40" s="736">
        <f>+AC31+AC39</f>
        <v>25000</v>
      </c>
      <c r="AD40" s="737">
        <f>IF(B40=0,0,AC40/B40)</f>
        <v>4.4834013363692299E-3</v>
      </c>
      <c r="AE40" s="705">
        <f>SUM(AE39+AE31)</f>
        <v>-1311237.6000000001</v>
      </c>
      <c r="AF40" s="710">
        <f>AE40/B40</f>
        <v>-0.23515217632550328</v>
      </c>
      <c r="AN40" s="207"/>
      <c r="AR40" s="95">
        <v>0</v>
      </c>
    </row>
    <row r="41" spans="1:44" ht="16.5" thickTop="1" x14ac:dyDescent="0.25">
      <c r="A41" s="961"/>
      <c r="B41" s="965"/>
      <c r="C41" s="962"/>
      <c r="D41" s="962"/>
      <c r="E41" s="962"/>
      <c r="F41" s="962"/>
      <c r="G41" s="963"/>
      <c r="H41" s="963"/>
      <c r="I41" s="963"/>
      <c r="J41" s="963"/>
      <c r="K41" s="962"/>
      <c r="L41" s="962"/>
      <c r="M41" s="962"/>
      <c r="N41" s="962"/>
      <c r="O41" s="962"/>
      <c r="P41" s="962"/>
      <c r="Q41" s="962"/>
      <c r="R41" s="962"/>
      <c r="S41" s="962"/>
      <c r="T41" s="962"/>
      <c r="U41" s="962"/>
      <c r="V41" s="962"/>
      <c r="W41" s="962"/>
      <c r="X41" s="962"/>
      <c r="Y41" s="962"/>
      <c r="Z41" s="962"/>
      <c r="AA41" s="962"/>
      <c r="AB41" s="966"/>
      <c r="AC41" s="967"/>
      <c r="AD41" s="968"/>
      <c r="AE41" s="965"/>
      <c r="AF41" s="964"/>
      <c r="AN41" s="207"/>
      <c r="AR41" s="95"/>
    </row>
    <row r="42" spans="1:44" ht="16.5" x14ac:dyDescent="0.3">
      <c r="A42" s="974" t="s">
        <v>99</v>
      </c>
      <c r="B42" s="699"/>
      <c r="C42" s="377"/>
      <c r="D42" s="684"/>
      <c r="E42" s="803"/>
      <c r="F42" s="804"/>
      <c r="G42" s="805"/>
      <c r="H42" s="804"/>
      <c r="I42" s="806"/>
      <c r="J42" s="807"/>
      <c r="K42" s="808"/>
      <c r="L42" s="809"/>
      <c r="M42" s="810"/>
      <c r="N42" s="807"/>
      <c r="O42" s="807"/>
      <c r="P42" s="360"/>
      <c r="Q42" s="361"/>
      <c r="R42" s="361"/>
      <c r="S42" s="361"/>
      <c r="T42" s="361"/>
      <c r="U42" s="361"/>
      <c r="V42" s="355"/>
      <c r="W42" s="355"/>
      <c r="X42" s="355"/>
      <c r="Y42" s="355"/>
      <c r="Z42" s="442"/>
      <c r="AA42" s="442"/>
      <c r="AB42" s="853"/>
      <c r="AC42" s="731"/>
      <c r="AD42" s="732"/>
      <c r="AE42" s="702"/>
      <c r="AF42" s="706"/>
      <c r="AN42" s="207"/>
      <c r="AR42" s="95">
        <v>0</v>
      </c>
    </row>
    <row r="43" spans="1:44" ht="15.75" customHeight="1" x14ac:dyDescent="0.25">
      <c r="A43" s="263" t="s">
        <v>107</v>
      </c>
      <c r="B43" s="698">
        <v>817970</v>
      </c>
      <c r="C43" s="376">
        <v>717970</v>
      </c>
      <c r="D43" s="685">
        <v>800000</v>
      </c>
      <c r="E43" s="803">
        <v>0</v>
      </c>
      <c r="F43" s="811">
        <v>0</v>
      </c>
      <c r="G43" s="812">
        <v>0</v>
      </c>
      <c r="H43" s="811">
        <v>0</v>
      </c>
      <c r="I43" s="813">
        <v>0</v>
      </c>
      <c r="J43" s="767">
        <f>SUM(E43:I43)</f>
        <v>0</v>
      </c>
      <c r="K43" s="814">
        <f>F43+I43+J43</f>
        <v>0</v>
      </c>
      <c r="L43" s="782">
        <v>100000</v>
      </c>
      <c r="M43" s="815">
        <v>0</v>
      </c>
      <c r="N43" s="770">
        <f>SUM(K43:M43)</f>
        <v>100000</v>
      </c>
      <c r="O43" s="816">
        <f>+J43+N43</f>
        <v>100000</v>
      </c>
      <c r="P43" s="406">
        <v>0</v>
      </c>
      <c r="Q43" s="319">
        <v>0</v>
      </c>
      <c r="R43" s="319">
        <v>0</v>
      </c>
      <c r="S43" s="319">
        <v>0</v>
      </c>
      <c r="T43" s="319">
        <v>0</v>
      </c>
      <c r="U43" s="319">
        <v>0</v>
      </c>
      <c r="V43" s="929">
        <v>0</v>
      </c>
      <c r="W43" s="929">
        <v>0</v>
      </c>
      <c r="X43" s="929">
        <v>0</v>
      </c>
      <c r="Y43" s="930">
        <v>0</v>
      </c>
      <c r="Z43" s="425">
        <f>SUM(P43:Y43)</f>
        <v>0</v>
      </c>
      <c r="AA43" s="416">
        <f>+D43+Z43</f>
        <v>800000</v>
      </c>
      <c r="AB43" s="853"/>
      <c r="AC43" s="722">
        <f>AA43-D43</f>
        <v>0</v>
      </c>
      <c r="AD43" s="723">
        <f>IF(D43=0,0,AC43/D43)</f>
        <v>0</v>
      </c>
      <c r="AE43" s="702">
        <f>AA43-B43</f>
        <v>-17970</v>
      </c>
      <c r="AF43" s="706">
        <f>AE43/B43</f>
        <v>-2.1969020868736016E-2</v>
      </c>
      <c r="AN43" s="261">
        <f>SUM(AN37:AN42)</f>
        <v>0</v>
      </c>
      <c r="AR43" s="99">
        <f>SUM(AR37:AR42)</f>
        <v>0</v>
      </c>
    </row>
    <row r="44" spans="1:44" ht="24" customHeight="1" thickBot="1" x14ac:dyDescent="0.3">
      <c r="A44" s="969" t="s">
        <v>109</v>
      </c>
      <c r="B44" s="697">
        <f t="shared" ref="B44:AA44" si="35">SUM(B43:B43)</f>
        <v>817970</v>
      </c>
      <c r="C44" s="370">
        <f t="shared" si="35"/>
        <v>717970</v>
      </c>
      <c r="D44" s="686">
        <f t="shared" si="35"/>
        <v>800000</v>
      </c>
      <c r="E44" s="817">
        <f t="shared" si="35"/>
        <v>0</v>
      </c>
      <c r="F44" s="818">
        <f t="shared" si="35"/>
        <v>0</v>
      </c>
      <c r="G44" s="819">
        <f t="shared" si="35"/>
        <v>0</v>
      </c>
      <c r="H44" s="818">
        <f t="shared" si="35"/>
        <v>0</v>
      </c>
      <c r="I44" s="820">
        <f t="shared" si="35"/>
        <v>0</v>
      </c>
      <c r="J44" s="794">
        <f t="shared" si="35"/>
        <v>0</v>
      </c>
      <c r="K44" s="790">
        <f t="shared" si="35"/>
        <v>0</v>
      </c>
      <c r="L44" s="795">
        <f t="shared" si="35"/>
        <v>100000</v>
      </c>
      <c r="M44" s="796">
        <f t="shared" si="35"/>
        <v>0</v>
      </c>
      <c r="N44" s="797">
        <f t="shared" si="35"/>
        <v>100000</v>
      </c>
      <c r="O44" s="821">
        <f t="shared" si="35"/>
        <v>100000</v>
      </c>
      <c r="P44" s="367">
        <f t="shared" si="35"/>
        <v>0</v>
      </c>
      <c r="Q44" s="44">
        <f t="shared" si="35"/>
        <v>0</v>
      </c>
      <c r="R44" s="368">
        <f t="shared" si="35"/>
        <v>0</v>
      </c>
      <c r="S44" s="44">
        <f t="shared" si="35"/>
        <v>0</v>
      </c>
      <c r="T44" s="44">
        <f t="shared" si="35"/>
        <v>0</v>
      </c>
      <c r="U44" s="44">
        <f t="shared" si="35"/>
        <v>0</v>
      </c>
      <c r="V44" s="44">
        <f t="shared" si="35"/>
        <v>0</v>
      </c>
      <c r="W44" s="44">
        <f t="shared" si="35"/>
        <v>0</v>
      </c>
      <c r="X44" s="44">
        <f t="shared" si="35"/>
        <v>0</v>
      </c>
      <c r="Y44" s="44">
        <f t="shared" si="35"/>
        <v>0</v>
      </c>
      <c r="Z44" s="424">
        <f t="shared" si="35"/>
        <v>0</v>
      </c>
      <c r="AA44" s="418">
        <f t="shared" si="35"/>
        <v>800000</v>
      </c>
      <c r="AB44" s="854"/>
      <c r="AC44" s="733">
        <f>SUM(AC43:AC43)</f>
        <v>0</v>
      </c>
      <c r="AD44" s="729">
        <f>IF(B44=0,0,AC44/B44)</f>
        <v>0</v>
      </c>
      <c r="AE44" s="703">
        <f>SUM(AE43)</f>
        <v>-17970</v>
      </c>
      <c r="AF44" s="709">
        <f>AE44/B44</f>
        <v>-2.1969020868736016E-2</v>
      </c>
      <c r="AN44" s="262">
        <f>+AN31+AN43</f>
        <v>0</v>
      </c>
      <c r="AR44" s="100">
        <f>+AR31+AR43</f>
        <v>495081961</v>
      </c>
    </row>
    <row r="45" spans="1:44" s="9" customFormat="1" ht="17.25" customHeight="1" thickTop="1" x14ac:dyDescent="0.3">
      <c r="A45" s="2" t="s">
        <v>50</v>
      </c>
      <c r="B45" s="2"/>
      <c r="C45" s="838"/>
      <c r="D45" s="839"/>
      <c r="E45" s="840"/>
      <c r="F45" s="840"/>
      <c r="G45" s="841"/>
      <c r="H45" s="2"/>
      <c r="I45" s="2"/>
      <c r="J45" s="842">
        <f>J40</f>
        <v>189124</v>
      </c>
      <c r="K45" s="2"/>
      <c r="L45" s="2"/>
      <c r="M45" s="2"/>
      <c r="N45" s="2"/>
      <c r="O45" s="842">
        <f>+J40+N40</f>
        <v>464124</v>
      </c>
      <c r="P45" s="2"/>
      <c r="Q45" s="2"/>
      <c r="R45" s="2"/>
      <c r="S45" s="2"/>
      <c r="T45" s="2"/>
      <c r="U45" s="2"/>
      <c r="V45" s="2"/>
      <c r="W45" s="2"/>
      <c r="X45" s="2"/>
      <c r="Y45" s="2"/>
      <c r="Z45" s="2"/>
      <c r="AA45" s="842">
        <f>AA40-D40</f>
        <v>25000</v>
      </c>
      <c r="AB45" s="46"/>
      <c r="AC45" s="719"/>
      <c r="AD45" s="719"/>
      <c r="AE45" s="244"/>
      <c r="AF45" s="244"/>
      <c r="AG45" s="244"/>
    </row>
    <row r="46" spans="1:44" s="9" customFormat="1" ht="17.25" customHeight="1" x14ac:dyDescent="0.3">
      <c r="A46" s="123" t="s">
        <v>51</v>
      </c>
      <c r="B46" s="123"/>
      <c r="C46" s="123"/>
      <c r="D46" s="843"/>
      <c r="E46" s="844"/>
      <c r="F46" s="332"/>
      <c r="G46" s="332"/>
      <c r="H46" s="123"/>
      <c r="I46" s="123"/>
      <c r="J46" s="845">
        <f>IF(D40=0,0,J45/D40)</f>
        <v>4.4605916291145561E-2</v>
      </c>
      <c r="K46" s="123"/>
      <c r="L46" s="123"/>
      <c r="M46" s="123"/>
      <c r="N46" s="123"/>
      <c r="O46" s="846">
        <f>IF(D40=0,0,O45/D40)</f>
        <v>0.1094661507408454</v>
      </c>
      <c r="P46" s="123"/>
      <c r="Q46" s="123"/>
      <c r="R46" s="123"/>
      <c r="S46" s="123"/>
      <c r="T46" s="123"/>
      <c r="U46" s="123"/>
      <c r="V46" s="123"/>
      <c r="W46" s="123"/>
      <c r="X46" s="123"/>
      <c r="Y46" s="123"/>
      <c r="Z46" s="123"/>
      <c r="AA46" s="846">
        <f>IF(D40=0,0,AA45/D40)</f>
        <v>5.8963849499727118E-3</v>
      </c>
      <c r="AB46" s="384"/>
      <c r="AC46" s="513"/>
      <c r="AD46" s="513"/>
      <c r="AE46" s="244"/>
      <c r="AF46" s="244"/>
      <c r="AG46" s="244"/>
    </row>
    <row r="47" spans="1:44" s="9" customFormat="1" ht="33" customHeight="1" x14ac:dyDescent="0.3">
      <c r="A47" s="835" t="s">
        <v>127</v>
      </c>
      <c r="B47" s="836"/>
      <c r="C47" s="836"/>
      <c r="D47" s="836"/>
      <c r="E47" s="836"/>
      <c r="F47" s="836"/>
      <c r="G47" s="836"/>
      <c r="H47" s="836"/>
      <c r="I47" s="836"/>
      <c r="J47" s="836"/>
      <c r="K47" s="836"/>
      <c r="L47" s="836"/>
      <c r="M47" s="837"/>
      <c r="N47" s="712"/>
      <c r="O47" s="837"/>
      <c r="P47" s="6"/>
      <c r="Q47" s="6"/>
      <c r="R47" s="6"/>
      <c r="S47" s="6"/>
      <c r="T47" s="6"/>
      <c r="U47" s="6"/>
      <c r="V47" s="6"/>
      <c r="W47" s="6"/>
      <c r="X47" s="6"/>
      <c r="Y47" s="6"/>
      <c r="Z47" s="6"/>
      <c r="AA47" s="6"/>
      <c r="AB47" s="6"/>
      <c r="AC47" s="8"/>
      <c r="AD47" s="8"/>
      <c r="AE47" s="244"/>
      <c r="AF47" s="244"/>
      <c r="AG47" s="244"/>
    </row>
    <row r="48" spans="1:44" s="9" customFormat="1" ht="31.5" customHeight="1" x14ac:dyDescent="0.3">
      <c r="P48" s="10"/>
      <c r="Q48" s="10"/>
      <c r="R48" s="10"/>
      <c r="S48" s="10"/>
      <c r="T48" s="1058" t="s">
        <v>128</v>
      </c>
      <c r="U48" s="1058"/>
      <c r="V48" s="1058"/>
      <c r="W48" s="1058"/>
      <c r="X48" s="1058"/>
      <c r="Y48" s="1058"/>
      <c r="Z48" s="1058"/>
      <c r="AA48" s="46">
        <f>D40*AC48+D40</f>
        <v>5766244.96</v>
      </c>
      <c r="AB48" s="46"/>
      <c r="AC48" s="401">
        <v>0.36</v>
      </c>
      <c r="AE48" s="244"/>
      <c r="AF48" s="244"/>
      <c r="AG48" s="244"/>
    </row>
    <row r="49" spans="1:33" s="9" customFormat="1" ht="16.5" x14ac:dyDescent="0.3">
      <c r="A49" s="10"/>
      <c r="B49" s="10"/>
      <c r="C49" s="10"/>
      <c r="D49" s="81"/>
      <c r="E49" s="10"/>
      <c r="F49" s="10"/>
      <c r="G49" s="10"/>
      <c r="H49" s="10"/>
      <c r="I49" s="10"/>
      <c r="J49" s="10"/>
      <c r="K49" s="10"/>
      <c r="L49" s="10"/>
      <c r="Q49" s="10"/>
      <c r="R49" s="10"/>
      <c r="S49" s="10"/>
      <c r="T49" s="10"/>
      <c r="U49" s="10"/>
      <c r="V49" s="10"/>
      <c r="W49" s="10"/>
      <c r="X49" s="10"/>
      <c r="Y49" s="10"/>
      <c r="Z49" s="947"/>
      <c r="AA49" s="46">
        <f>-AA40</f>
        <v>-4264886</v>
      </c>
      <c r="AB49" s="46"/>
      <c r="AE49" s="244"/>
      <c r="AF49" s="244"/>
      <c r="AG49" s="244"/>
    </row>
    <row r="50" spans="1:33" s="9" customFormat="1" ht="20.100000000000001" customHeight="1" x14ac:dyDescent="0.3">
      <c r="A50" s="454"/>
      <c r="B50" s="454"/>
      <c r="C50" s="454"/>
      <c r="D50" s="454"/>
      <c r="E50" s="454"/>
      <c r="F50" s="454"/>
      <c r="G50" s="454"/>
      <c r="H50" s="454"/>
      <c r="I50" s="454"/>
      <c r="J50" s="454"/>
      <c r="K50" s="454"/>
      <c r="L50" s="454"/>
      <c r="M50" s="454"/>
      <c r="N50" s="454"/>
      <c r="O50" s="454"/>
      <c r="P50" s="454"/>
      <c r="Q50" s="454"/>
      <c r="R50" s="454"/>
      <c r="S50" s="454"/>
      <c r="T50" s="1059" t="s">
        <v>129</v>
      </c>
      <c r="U50" s="1059"/>
      <c r="V50" s="946"/>
      <c r="W50" s="946"/>
      <c r="X50" s="946"/>
      <c r="Y50" s="946"/>
      <c r="Z50" s="948"/>
      <c r="AA50" s="306">
        <f>SUM(AA48:AA49)</f>
        <v>1501358.96</v>
      </c>
      <c r="AB50" s="306"/>
      <c r="AC50" s="249"/>
      <c r="AE50" s="244"/>
      <c r="AF50" s="244"/>
      <c r="AG50" s="244"/>
    </row>
    <row r="51" spans="1:33" s="9" customFormat="1" ht="16.5" x14ac:dyDescent="0.3">
      <c r="A51" s="6"/>
      <c r="B51" s="10"/>
      <c r="C51" s="10"/>
      <c r="E51" s="10"/>
      <c r="F51" s="10"/>
      <c r="G51" s="10"/>
      <c r="H51" s="10"/>
      <c r="I51" s="10"/>
      <c r="J51" s="10"/>
      <c r="K51" s="10"/>
      <c r="L51" s="10"/>
      <c r="M51" s="10"/>
      <c r="N51" s="130"/>
      <c r="O51" s="130"/>
      <c r="P51" s="10"/>
      <c r="Q51" s="10"/>
      <c r="R51" s="10"/>
      <c r="S51" s="10"/>
      <c r="T51" s="10"/>
      <c r="U51" s="10"/>
      <c r="V51" s="10"/>
      <c r="W51" s="10"/>
      <c r="X51" s="10"/>
      <c r="Y51" s="10"/>
      <c r="Z51" s="10"/>
      <c r="AA51" s="307"/>
      <c r="AB51" s="307"/>
      <c r="AE51" s="244"/>
      <c r="AF51" s="244"/>
      <c r="AG51" s="244"/>
    </row>
    <row r="52" spans="1:33" ht="18.75" x14ac:dyDescent="0.3">
      <c r="A52" s="67"/>
      <c r="B52" s="68"/>
      <c r="C52" s="68"/>
      <c r="E52" s="22"/>
      <c r="F52" s="22"/>
      <c r="G52" s="22"/>
      <c r="H52" s="22"/>
      <c r="I52" s="22"/>
      <c r="J52" s="22"/>
      <c r="K52" s="4"/>
      <c r="L52" s="4"/>
      <c r="O52" s="6"/>
      <c r="P52" s="4"/>
      <c r="Q52" s="9"/>
      <c r="R52" s="4"/>
      <c r="S52" s="4"/>
      <c r="T52" s="1058" t="s">
        <v>233</v>
      </c>
      <c r="U52" s="1058"/>
      <c r="V52" s="1058"/>
      <c r="W52" s="1058"/>
      <c r="X52" s="1058"/>
      <c r="Y52" s="1058"/>
      <c r="Z52" s="1058"/>
      <c r="AA52" s="46">
        <f>D40*AC48</f>
        <v>1526358.96</v>
      </c>
      <c r="AB52" s="46"/>
    </row>
    <row r="53" spans="1:33" ht="16.5" x14ac:dyDescent="0.3">
      <c r="A53" s="6"/>
      <c r="B53" s="11"/>
      <c r="C53" s="11"/>
      <c r="D53" s="11"/>
      <c r="E53" s="11"/>
      <c r="F53" s="11"/>
      <c r="G53" s="11"/>
      <c r="H53" s="11"/>
      <c r="I53" s="11"/>
      <c r="J53" s="11"/>
      <c r="K53" s="4"/>
      <c r="L53" s="4"/>
      <c r="O53" s="6"/>
      <c r="P53" s="4"/>
      <c r="Q53" s="4"/>
      <c r="R53" s="4"/>
      <c r="S53" s="4"/>
      <c r="T53" s="4"/>
      <c r="U53" s="4"/>
      <c r="V53" s="4"/>
      <c r="W53" s="4"/>
      <c r="X53" s="4"/>
      <c r="Y53" s="4"/>
      <c r="Z53" s="4"/>
      <c r="AA53" s="308"/>
      <c r="AB53" s="308"/>
    </row>
    <row r="54" spans="1:33" ht="16.5" x14ac:dyDescent="0.3">
      <c r="A54" s="12"/>
      <c r="B54" s="11"/>
      <c r="C54" s="11"/>
      <c r="D54" s="11"/>
      <c r="E54" s="11"/>
      <c r="F54" s="11"/>
      <c r="G54" s="11"/>
      <c r="H54" s="11"/>
      <c r="I54" s="11"/>
      <c r="J54" s="11"/>
      <c r="K54" s="4"/>
      <c r="L54" s="4"/>
      <c r="O54" s="250"/>
      <c r="P54" s="4"/>
      <c r="Q54" s="4"/>
      <c r="R54" s="4"/>
      <c r="S54" s="4"/>
      <c r="T54" s="4"/>
      <c r="U54" s="4"/>
      <c r="V54" s="4"/>
      <c r="W54" s="4"/>
      <c r="X54" s="4"/>
      <c r="Y54" s="4"/>
      <c r="Z54" s="4"/>
      <c r="AA54" s="4"/>
      <c r="AB54" s="4"/>
    </row>
    <row r="55" spans="1:33" ht="15" x14ac:dyDescent="0.2">
      <c r="A55" s="12"/>
      <c r="B55" s="11"/>
      <c r="C55" s="11"/>
      <c r="D55" s="11"/>
      <c r="E55" s="11"/>
      <c r="F55" s="11"/>
      <c r="G55" s="11"/>
      <c r="H55" s="11"/>
      <c r="I55" s="11"/>
      <c r="J55" s="11"/>
      <c r="K55" s="4"/>
      <c r="L55" s="4"/>
      <c r="O55" s="10"/>
      <c r="P55" s="10"/>
      <c r="Q55" s="10"/>
      <c r="R55" s="10"/>
      <c r="S55" s="10"/>
      <c r="T55" s="4"/>
      <c r="U55" s="4"/>
      <c r="V55" s="4"/>
      <c r="W55" s="4"/>
      <c r="X55" s="4"/>
      <c r="Y55" s="4"/>
      <c r="Z55" s="4"/>
      <c r="AA55" s="4"/>
      <c r="AB55" s="4"/>
    </row>
    <row r="56" spans="1:33" ht="15" x14ac:dyDescent="0.2">
      <c r="A56" s="12"/>
      <c r="B56" s="11"/>
      <c r="C56" s="11"/>
      <c r="D56" s="11"/>
      <c r="E56" s="11"/>
      <c r="F56" s="11"/>
      <c r="G56" s="11"/>
      <c r="H56" s="11"/>
      <c r="I56" s="11"/>
      <c r="J56" s="11"/>
      <c r="K56" s="4"/>
      <c r="L56" s="4"/>
      <c r="M56" s="4"/>
      <c r="N56" s="4"/>
      <c r="O56" s="4"/>
      <c r="P56" s="4"/>
      <c r="Q56" s="4"/>
      <c r="R56" s="4"/>
      <c r="S56" s="4"/>
      <c r="T56" s="4"/>
      <c r="U56" s="4"/>
      <c r="V56" s="4"/>
      <c r="W56" s="4"/>
      <c r="X56" s="4"/>
      <c r="Y56" s="4"/>
      <c r="Z56" s="4"/>
      <c r="AA56" s="4"/>
      <c r="AB56" s="4"/>
    </row>
    <row r="57" spans="1:33" ht="15" x14ac:dyDescent="0.2">
      <c r="B57" s="1"/>
      <c r="C57" s="1"/>
      <c r="D57" s="1"/>
      <c r="E57" s="1"/>
      <c r="F57" s="1"/>
      <c r="G57" s="1"/>
      <c r="H57" s="1"/>
      <c r="I57" s="1"/>
      <c r="J57" s="1"/>
      <c r="K57" s="4"/>
      <c r="L57" s="4"/>
      <c r="M57" s="4"/>
      <c r="N57" s="4"/>
      <c r="O57" s="4"/>
      <c r="P57" s="4"/>
      <c r="Q57" s="4"/>
      <c r="R57" s="4"/>
      <c r="S57" s="4"/>
      <c r="T57" s="4"/>
      <c r="U57" s="4"/>
      <c r="V57" s="4"/>
      <c r="W57" s="4"/>
      <c r="X57" s="4"/>
      <c r="Y57" s="4"/>
      <c r="Z57" s="4"/>
      <c r="AA57" s="4"/>
      <c r="AB57" s="4"/>
    </row>
    <row r="58" spans="1:33" ht="15" x14ac:dyDescent="0.2">
      <c r="B58" s="1"/>
      <c r="C58" s="1"/>
      <c r="D58" s="1"/>
      <c r="E58" s="1"/>
      <c r="F58" s="1"/>
      <c r="G58" s="1"/>
      <c r="H58" s="1"/>
      <c r="I58" s="1"/>
      <c r="J58" s="1"/>
      <c r="K58" s="4"/>
      <c r="L58" s="4"/>
      <c r="M58" s="4"/>
      <c r="N58" s="4"/>
      <c r="O58" s="4"/>
      <c r="P58" s="4"/>
      <c r="Q58" s="4"/>
      <c r="R58" s="4"/>
      <c r="S58" s="4"/>
      <c r="T58" s="4"/>
      <c r="U58" s="4"/>
      <c r="V58" s="4"/>
      <c r="W58" s="4"/>
      <c r="X58" s="4"/>
      <c r="Y58" s="4"/>
      <c r="Z58" s="4"/>
      <c r="AA58" s="4"/>
      <c r="AB58" s="4"/>
    </row>
    <row r="59" spans="1:33" ht="16.5" x14ac:dyDescent="0.3">
      <c r="B59" s="1"/>
      <c r="C59" s="1"/>
      <c r="D59" s="1"/>
      <c r="E59" s="1"/>
      <c r="F59" s="1"/>
      <c r="G59" s="1"/>
      <c r="H59" s="1"/>
      <c r="I59" s="1"/>
      <c r="J59" s="1"/>
      <c r="K59" s="4"/>
      <c r="L59" s="4"/>
      <c r="M59" s="4"/>
      <c r="N59" s="4"/>
      <c r="O59" s="4"/>
      <c r="P59" s="4"/>
      <c r="Q59" s="4"/>
      <c r="R59" s="4"/>
      <c r="S59" s="4"/>
      <c r="T59" s="4"/>
      <c r="U59" s="4"/>
      <c r="V59" s="4"/>
      <c r="W59" s="4"/>
      <c r="X59" s="4"/>
      <c r="Y59" s="4"/>
      <c r="Z59" s="4"/>
      <c r="AA59" s="46"/>
      <c r="AB59" s="4"/>
    </row>
    <row r="75" spans="5:5" x14ac:dyDescent="0.2">
      <c r="E75" s="23"/>
    </row>
  </sheetData>
  <mergeCells count="21">
    <mergeCell ref="A1:AD1"/>
    <mergeCell ref="A2:AD2"/>
    <mergeCell ref="A3:AD3"/>
    <mergeCell ref="A4:AD4"/>
    <mergeCell ref="A6:D7"/>
    <mergeCell ref="E6:O6"/>
    <mergeCell ref="E7:J7"/>
    <mergeCell ref="K7:N7"/>
    <mergeCell ref="P7:Z7"/>
    <mergeCell ref="E8:I8"/>
    <mergeCell ref="K8:M8"/>
    <mergeCell ref="P8:U8"/>
    <mergeCell ref="AC8:AF8"/>
    <mergeCell ref="G10:H10"/>
    <mergeCell ref="AC10:AD10"/>
    <mergeCell ref="AE10:AF10"/>
    <mergeCell ref="AC11:AD11"/>
    <mergeCell ref="AE11:AF11"/>
    <mergeCell ref="T48:Z48"/>
    <mergeCell ref="T50:U50"/>
    <mergeCell ref="T52:Z52"/>
  </mergeCells>
  <hyperlinks>
    <hyperlink ref="A13" location="'3)Budget Line Descriptions'!A5" display="SERVICES"/>
    <hyperlink ref="A42" location="'3)Budget Line Descriptions'!A27" display="CONTRACT SUPPORT COSTS"/>
    <hyperlink ref="A33" location="'3)Budget Line Descriptions'!A20" display="FACILITIES"/>
    <hyperlink ref="A12" location="'2) Worksheet Guidance'!A6" display="Sub Sub Activity"/>
    <hyperlink ref="B8" location="'2) Worksheet Guidance'!A7" display="FY 2019"/>
    <hyperlink ref="C8" location="'2) Worksheet Guidance'!A8" display="FY 2018"/>
    <hyperlink ref="D8" location="'2) Worksheet Guidance'!A9" display="FY 2017"/>
    <hyperlink ref="E10:F11" location="'2) Worksheet Guidance'!A9" display="Federal"/>
    <hyperlink ref="G10:H10" location="'2) Worksheet Guidance'!A11" display="Inflation"/>
    <hyperlink ref="I11:I12" location="'2) Worksheet Guidance'!A12" display="Population"/>
    <hyperlink ref="J10:J12" location="'2) Worksheet Guidance'!A13" display="Current"/>
    <hyperlink ref="K9:K12" location="'2) Worksheet Guidance'!A14" display="Staffing"/>
    <hyperlink ref="L9:L12" location="'2) Worksheet Guidance'!A15" display="Contract"/>
    <hyperlink ref="M9:M10" location="'2) Worksheet Guidance'!A16" display="Healthcare"/>
    <hyperlink ref="N10:N12" location="'2) Worksheet Guidance'!A17" display="Binding"/>
    <hyperlink ref="O8:O12" location="'2) Worksheet Guidance'!A18" display="Current"/>
    <hyperlink ref="P7:Z7" location="'2) Worksheet Guidance'!A19" display="PROGRAM INCREASES - NATIONAL PRIORITIES"/>
    <hyperlink ref="Z10:Z12" location="'2) Worksheet Guidance'!A20" display="Program"/>
    <hyperlink ref="AA9:AA12" location="'2) Worksheet Guidance'!A22" display="FY 2020"/>
    <hyperlink ref="AE10:AF11" location="'2) Worksheet Guidance'!A25" display="change over"/>
    <hyperlink ref="AC10:AD11" location="'2) Worksheet Guidance'!A24" display="change over"/>
    <hyperlink ref="E10:E11" location="'2) Worksheet Guidance'!A10" display="Federal"/>
    <hyperlink ref="F10:F11" location="'2) Worksheet Guidance'!A10" display="Tribal "/>
  </hyperlinks>
  <printOptions horizontalCentered="1" verticalCentered="1" headings="1"/>
  <pageMargins left="0.25" right="0.25" top="0.75" bottom="0.75" header="0.3" footer="0.3"/>
  <pageSetup paperSize="5" scale="50" orientation="landscape" r:id="rId1"/>
  <headerFooter scaleWithDoc="0">
    <oddHeader>&amp;C&amp;"Times New Roman,Bold"&amp;12                                                                            &amp;11        &amp;12                                                                            &amp;R&amp;"Times New Roman,Regular"&amp;12Deliverable #4a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E79"/>
  <sheetViews>
    <sheetView topLeftCell="A4" zoomScale="70" zoomScaleNormal="70" zoomScaleSheetLayoutView="90" zoomScalePageLayoutView="70" workbookViewId="0">
      <selection activeCell="O47" sqref="O47"/>
    </sheetView>
  </sheetViews>
  <sheetFormatPr defaultRowHeight="12.75" x14ac:dyDescent="0.2"/>
  <cols>
    <col min="1" max="1" width="32.85546875" customWidth="1"/>
    <col min="2" max="2" width="13.28515625" customWidth="1"/>
    <col min="3" max="3" width="11.42578125" customWidth="1"/>
    <col min="4" max="4" width="10.42578125" customWidth="1"/>
    <col min="5" max="5" width="9.7109375" customWidth="1"/>
    <col min="6" max="6" width="9.85546875" customWidth="1"/>
    <col min="7" max="7" width="10" customWidth="1"/>
    <col min="8" max="8" width="9.7109375" customWidth="1"/>
    <col min="9" max="9" width="10.42578125" customWidth="1"/>
    <col min="10" max="10" width="11.7109375" customWidth="1"/>
    <col min="11" max="11" width="8.140625" bestFit="1" customWidth="1"/>
    <col min="12" max="12" width="8.140625" customWidth="1"/>
    <col min="13" max="13" width="10.42578125" bestFit="1" customWidth="1"/>
    <col min="14" max="14" width="10" bestFit="1" customWidth="1"/>
    <col min="15" max="15" width="10.42578125" customWidth="1"/>
    <col min="16" max="20" width="8.5703125" customWidth="1"/>
    <col min="21" max="21" width="8.140625" customWidth="1"/>
    <col min="22" max="22" width="9.42578125" customWidth="1"/>
    <col min="23" max="23" width="14.140625" customWidth="1"/>
    <col min="24" max="24" width="1.28515625" customWidth="1"/>
    <col min="25" max="25" width="9.7109375" customWidth="1"/>
    <col min="26" max="26" width="6.42578125" customWidth="1"/>
    <col min="27" max="27" width="1.140625" customWidth="1"/>
    <col min="28" max="28" width="0.5703125" customWidth="1"/>
    <col min="29" max="29" width="11.5703125" customWidth="1"/>
    <col min="30" max="30" width="8.140625" customWidth="1"/>
    <col min="31" max="31" width="9.5703125" customWidth="1"/>
    <col min="32" max="32" width="7.7109375" customWidth="1"/>
    <col min="33" max="33" width="9.140625" customWidth="1"/>
    <col min="34" max="34" width="11.140625" customWidth="1"/>
    <col min="35" max="35" width="11.85546875" customWidth="1"/>
    <col min="36" max="36" width="1.140625" customWidth="1"/>
    <col min="37" max="37" width="9.28515625" style="236" customWidth="1"/>
    <col min="38" max="38" width="5.85546875" style="236" customWidth="1"/>
    <col min="39" max="39" width="0.7109375" style="236" customWidth="1"/>
    <col min="40" max="40" width="6.7109375" style="236" customWidth="1"/>
    <col min="41" max="41" width="6.42578125" style="236" customWidth="1"/>
    <col min="42" max="42" width="5.7109375" style="236" hidden="1" customWidth="1"/>
    <col min="43" max="43" width="3.7109375" style="236" customWidth="1"/>
    <col min="44" max="44" width="4.5703125" style="236" customWidth="1"/>
    <col min="45" max="46" width="9.140625" style="236" customWidth="1"/>
    <col min="53" max="56" width="0" hidden="1" customWidth="1"/>
    <col min="57" max="57" width="13.42578125" hidden="1" customWidth="1"/>
  </cols>
  <sheetData>
    <row r="1" spans="1:57" ht="18.75" x14ac:dyDescent="0.3">
      <c r="A1" s="1034" t="s">
        <v>25</v>
      </c>
      <c r="B1" s="1034"/>
      <c r="C1" s="1034"/>
      <c r="D1" s="1034"/>
      <c r="E1" s="1034"/>
      <c r="F1" s="1034"/>
      <c r="G1" s="1034"/>
      <c r="H1" s="1034"/>
      <c r="I1" s="1034"/>
      <c r="J1" s="1034"/>
      <c r="K1" s="1034"/>
      <c r="L1" s="1034"/>
      <c r="M1" s="1034"/>
      <c r="N1" s="1034"/>
      <c r="O1" s="1034"/>
      <c r="P1" s="1034"/>
      <c r="Q1" s="1034"/>
      <c r="R1" s="1034"/>
      <c r="S1" s="1034"/>
      <c r="T1" s="1034"/>
      <c r="U1" s="1034"/>
      <c r="V1" s="1034"/>
      <c r="W1" s="1034"/>
      <c r="X1" s="1034"/>
      <c r="Y1" s="1034"/>
      <c r="Z1" s="1034"/>
      <c r="AA1" s="1034"/>
      <c r="AB1" s="1034"/>
      <c r="AC1" s="1034"/>
      <c r="AD1" s="1034"/>
      <c r="AE1" s="1034"/>
      <c r="AF1" s="1034"/>
      <c r="AG1" s="1034"/>
      <c r="AH1" s="1034"/>
      <c r="AI1" s="1034"/>
      <c r="AJ1" s="380"/>
    </row>
    <row r="2" spans="1:57" ht="18.75" x14ac:dyDescent="0.3">
      <c r="A2" s="1042" t="s">
        <v>122</v>
      </c>
      <c r="B2" s="1042"/>
      <c r="C2" s="1042"/>
      <c r="D2" s="1042"/>
      <c r="E2" s="1042"/>
      <c r="F2" s="1042"/>
      <c r="G2" s="1042"/>
      <c r="H2" s="1042"/>
      <c r="I2" s="1042"/>
      <c r="J2" s="1042"/>
      <c r="K2" s="1042"/>
      <c r="L2" s="1042"/>
      <c r="M2" s="1042"/>
      <c r="N2" s="1042"/>
      <c r="O2" s="1042"/>
      <c r="P2" s="1042"/>
      <c r="Q2" s="1042"/>
      <c r="R2" s="1042"/>
      <c r="S2" s="1042"/>
      <c r="T2" s="1042"/>
      <c r="U2" s="1042"/>
      <c r="V2" s="1042"/>
      <c r="W2" s="1042"/>
      <c r="X2" s="1042"/>
      <c r="Y2" s="1042"/>
      <c r="Z2" s="1042"/>
      <c r="AA2" s="1042"/>
      <c r="AB2" s="1042"/>
      <c r="AC2" s="1042"/>
      <c r="AD2" s="1042"/>
      <c r="AE2" s="1042"/>
      <c r="AF2" s="1042"/>
      <c r="AG2" s="1042"/>
      <c r="AH2" s="1042"/>
      <c r="AI2" s="1042"/>
      <c r="AJ2" s="382"/>
    </row>
    <row r="3" spans="1:57" ht="18.75" x14ac:dyDescent="0.3">
      <c r="A3" s="1034" t="s">
        <v>103</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673"/>
    </row>
    <row r="4" spans="1:57" ht="15.75" customHeight="1" thickBot="1" x14ac:dyDescent="0.25">
      <c r="A4" s="1036" t="s">
        <v>39</v>
      </c>
      <c r="B4" s="1036"/>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381"/>
    </row>
    <row r="5" spans="1:57" ht="15.75" customHeight="1" thickTop="1" x14ac:dyDescent="0.2">
      <c r="A5" s="381"/>
      <c r="B5" s="381"/>
      <c r="C5" s="381"/>
      <c r="D5" s="381"/>
      <c r="E5" s="381"/>
      <c r="F5" s="381"/>
      <c r="G5" s="381"/>
      <c r="H5" s="381"/>
      <c r="I5" s="381"/>
      <c r="J5" s="381"/>
      <c r="K5" s="381"/>
      <c r="L5" s="381"/>
      <c r="M5" s="381"/>
      <c r="N5" s="381"/>
      <c r="O5" s="381"/>
      <c r="P5" s="381"/>
      <c r="Q5" s="381"/>
      <c r="R5" s="381"/>
      <c r="S5" s="381"/>
      <c r="T5" s="381"/>
      <c r="U5" s="381"/>
      <c r="V5" s="381"/>
      <c r="W5" s="381"/>
      <c r="X5" s="381"/>
      <c r="AB5" s="602"/>
      <c r="AC5" s="603"/>
      <c r="AD5" s="603"/>
      <c r="AE5" s="603"/>
      <c r="AF5" s="603"/>
      <c r="AG5" s="603"/>
      <c r="AH5" s="603"/>
      <c r="AI5" s="603"/>
      <c r="AJ5" s="603"/>
      <c r="AK5" s="604"/>
      <c r="AL5" s="604"/>
      <c r="AM5" s="604"/>
      <c r="AN5" s="604"/>
      <c r="AO5" s="604"/>
      <c r="AP5" s="604"/>
      <c r="AQ5" s="605"/>
      <c r="AR5" s="606"/>
    </row>
    <row r="6" spans="1:57" ht="20.100000000000001" customHeight="1" thickBot="1" x14ac:dyDescent="0.35">
      <c r="A6" s="79"/>
      <c r="B6" s="79"/>
      <c r="C6" s="1087"/>
      <c r="D6" s="225"/>
      <c r="E6" s="1089"/>
      <c r="F6" s="1090"/>
      <c r="G6" s="1090"/>
      <c r="H6" s="1090"/>
      <c r="I6" s="1090"/>
      <c r="J6" s="1090"/>
      <c r="K6" s="1090"/>
      <c r="L6" s="1090"/>
      <c r="M6" s="1090"/>
      <c r="N6" s="1090"/>
      <c r="O6" s="226"/>
      <c r="P6" s="265"/>
      <c r="Q6" s="265"/>
      <c r="R6" s="265"/>
      <c r="S6" s="265"/>
      <c r="T6" s="265"/>
      <c r="U6" s="265"/>
      <c r="V6" s="265"/>
      <c r="W6" s="253"/>
      <c r="X6" s="253"/>
      <c r="Y6" s="236"/>
      <c r="Z6" s="236"/>
      <c r="AA6" s="236"/>
      <c r="AB6" s="606"/>
      <c r="AC6" s="514"/>
      <c r="AD6" s="514"/>
      <c r="AE6" s="514"/>
      <c r="AF6" s="514"/>
      <c r="AG6" s="514"/>
      <c r="AH6" s="514"/>
      <c r="AI6" s="514"/>
      <c r="AJ6" s="514"/>
      <c r="AK6" s="1110"/>
      <c r="AL6" s="1110"/>
      <c r="AM6" s="671"/>
      <c r="AN6" s="251"/>
      <c r="AO6" s="251"/>
      <c r="AP6" s="225"/>
      <c r="AQ6" s="627"/>
      <c r="AR6" s="628"/>
    </row>
    <row r="7" spans="1:57" ht="20.100000000000001" customHeight="1" thickBot="1" x14ac:dyDescent="0.3">
      <c r="A7" s="229"/>
      <c r="B7" s="230"/>
      <c r="C7" s="1088"/>
      <c r="D7" s="230"/>
      <c r="E7" s="1111" t="s">
        <v>136</v>
      </c>
      <c r="F7" s="1112"/>
      <c r="G7" s="1112"/>
      <c r="H7" s="1112"/>
      <c r="I7" s="1112"/>
      <c r="J7" s="1113"/>
      <c r="K7" s="1111" t="s">
        <v>80</v>
      </c>
      <c r="L7" s="1112"/>
      <c r="M7" s="1112"/>
      <c r="N7" s="1113"/>
      <c r="O7" s="248"/>
      <c r="P7" s="1114" t="s">
        <v>106</v>
      </c>
      <c r="Q7" s="1115"/>
      <c r="R7" s="1115"/>
      <c r="S7" s="1115"/>
      <c r="T7" s="1115"/>
      <c r="U7" s="1115"/>
      <c r="V7" s="1116"/>
      <c r="W7" s="228"/>
      <c r="X7" s="228"/>
      <c r="Y7" s="236"/>
      <c r="Z7" s="236"/>
      <c r="AA7" s="236"/>
      <c r="AB7" s="606"/>
      <c r="AC7" s="1117" t="s">
        <v>126</v>
      </c>
      <c r="AD7" s="1118"/>
      <c r="AE7" s="1118"/>
      <c r="AF7" s="1118"/>
      <c r="AG7" s="1118"/>
      <c r="AH7" s="1119"/>
      <c r="AI7" s="575"/>
      <c r="AJ7" s="575"/>
      <c r="AK7" s="239"/>
      <c r="AL7" s="239"/>
      <c r="AM7" s="239"/>
      <c r="AN7" s="240"/>
      <c r="AO7" s="240"/>
      <c r="AP7" s="239"/>
      <c r="AQ7" s="607"/>
      <c r="AR7" s="629"/>
    </row>
    <row r="8" spans="1:57" ht="15.75" customHeight="1" x14ac:dyDescent="0.3">
      <c r="A8" s="232"/>
      <c r="B8" s="1091" t="s">
        <v>102</v>
      </c>
      <c r="C8" s="1092"/>
      <c r="D8" s="463" t="s">
        <v>124</v>
      </c>
      <c r="E8" s="1093" t="s">
        <v>78</v>
      </c>
      <c r="F8" s="1039"/>
      <c r="G8" s="1039"/>
      <c r="H8" s="1039"/>
      <c r="I8" s="1039"/>
      <c r="J8" s="69"/>
      <c r="K8" s="1093" t="s">
        <v>78</v>
      </c>
      <c r="L8" s="1039"/>
      <c r="M8" s="1039"/>
      <c r="N8" s="246"/>
      <c r="O8" s="428" t="s">
        <v>54</v>
      </c>
      <c r="P8" s="1093"/>
      <c r="Q8" s="1039"/>
      <c r="R8" s="1039"/>
      <c r="S8" s="1039"/>
      <c r="T8" s="1039"/>
      <c r="U8" s="1039"/>
      <c r="V8" s="440"/>
      <c r="W8" s="411"/>
      <c r="X8" s="523"/>
      <c r="Y8" s="1094" t="s">
        <v>100</v>
      </c>
      <c r="Z8" s="1095"/>
      <c r="AA8" s="569"/>
      <c r="AB8" s="608"/>
      <c r="AC8" s="1123"/>
      <c r="AD8" s="1124"/>
      <c r="AE8" s="1124"/>
      <c r="AF8" s="1125"/>
      <c r="AG8" s="1126"/>
      <c r="AH8" s="490"/>
      <c r="AI8" s="636" t="s">
        <v>119</v>
      </c>
      <c r="AJ8" s="492"/>
      <c r="AK8" s="1127" t="s">
        <v>100</v>
      </c>
      <c r="AL8" s="1128"/>
      <c r="AM8" s="1128"/>
      <c r="AN8" s="1128"/>
      <c r="AO8" s="1129"/>
      <c r="AQ8" s="531"/>
      <c r="AR8" s="606"/>
    </row>
    <row r="9" spans="1:57" s="23" customFormat="1" ht="15.75" customHeight="1" x14ac:dyDescent="0.25">
      <c r="A9" s="55"/>
      <c r="B9" s="649"/>
      <c r="D9" s="458"/>
      <c r="E9" s="119"/>
      <c r="F9" s="119"/>
      <c r="G9" s="300"/>
      <c r="H9" s="301"/>
      <c r="I9" s="299"/>
      <c r="J9" s="70"/>
      <c r="K9" s="120" t="s">
        <v>90</v>
      </c>
      <c r="L9" s="316" t="s">
        <v>94</v>
      </c>
      <c r="M9" s="312" t="s">
        <v>96</v>
      </c>
      <c r="N9" s="247"/>
      <c r="O9" s="429" t="s">
        <v>81</v>
      </c>
      <c r="P9" s="328"/>
      <c r="Q9" s="328"/>
      <c r="R9" s="328"/>
      <c r="S9" s="328"/>
      <c r="T9" s="329"/>
      <c r="U9" s="328"/>
      <c r="V9" s="441"/>
      <c r="W9" s="412" t="s">
        <v>110</v>
      </c>
      <c r="X9" s="523"/>
      <c r="Y9" s="37"/>
      <c r="Z9" s="119"/>
      <c r="AA9" s="570"/>
      <c r="AB9" s="609"/>
      <c r="AC9" s="582"/>
      <c r="AD9" s="564"/>
      <c r="AE9" s="564"/>
      <c r="AF9" s="643"/>
      <c r="AG9" s="583"/>
      <c r="AH9" s="509" t="s">
        <v>125</v>
      </c>
      <c r="AI9" s="637" t="s">
        <v>110</v>
      </c>
      <c r="AJ9" s="493"/>
      <c r="AK9" s="1130"/>
      <c r="AL9" s="1131"/>
      <c r="AM9" s="549"/>
      <c r="AN9" s="529"/>
      <c r="AO9" s="576"/>
      <c r="AP9" s="227"/>
      <c r="AQ9" s="610"/>
      <c r="AR9" s="630"/>
      <c r="AS9" s="234"/>
      <c r="AT9" s="241"/>
    </row>
    <row r="10" spans="1:57" ht="15.75" customHeight="1" x14ac:dyDescent="0.25">
      <c r="A10" s="14"/>
      <c r="B10" s="650"/>
      <c r="C10" s="660" t="s">
        <v>52</v>
      </c>
      <c r="D10" s="464"/>
      <c r="E10" s="120" t="s">
        <v>41</v>
      </c>
      <c r="F10" s="120" t="s">
        <v>60</v>
      </c>
      <c r="G10" s="1096" t="s">
        <v>34</v>
      </c>
      <c r="H10" s="1097"/>
      <c r="I10" s="36"/>
      <c r="J10" s="71" t="s">
        <v>54</v>
      </c>
      <c r="K10" s="120" t="s">
        <v>91</v>
      </c>
      <c r="L10" s="317" t="s">
        <v>95</v>
      </c>
      <c r="M10" s="311" t="s">
        <v>92</v>
      </c>
      <c r="N10" s="234" t="s">
        <v>76</v>
      </c>
      <c r="O10" s="430" t="s">
        <v>76</v>
      </c>
      <c r="P10" s="398"/>
      <c r="Q10" s="120"/>
      <c r="R10" s="317"/>
      <c r="S10" s="120"/>
      <c r="T10" s="317"/>
      <c r="U10" s="327"/>
      <c r="V10" s="430" t="s">
        <v>56</v>
      </c>
      <c r="W10" s="412" t="s">
        <v>47</v>
      </c>
      <c r="X10" s="523"/>
      <c r="Y10" s="1098" t="s">
        <v>133</v>
      </c>
      <c r="Z10" s="1099"/>
      <c r="AA10" s="571"/>
      <c r="AB10" s="611"/>
      <c r="AC10" s="584"/>
      <c r="AD10" s="565"/>
      <c r="AE10" s="565"/>
      <c r="AF10" s="644"/>
      <c r="AG10" s="585"/>
      <c r="AH10" s="509" t="s">
        <v>115</v>
      </c>
      <c r="AI10" s="637" t="s">
        <v>47</v>
      </c>
      <c r="AJ10" s="493"/>
      <c r="AK10" s="1102" t="s">
        <v>134</v>
      </c>
      <c r="AL10" s="1103"/>
      <c r="AM10" s="541"/>
      <c r="AN10" s="1106" t="s">
        <v>123</v>
      </c>
      <c r="AO10" s="1107"/>
      <c r="AP10" s="120"/>
      <c r="AQ10" s="612"/>
      <c r="AR10" s="631"/>
      <c r="AS10" s="234"/>
    </row>
    <row r="11" spans="1:57" ht="16.5" customHeight="1" x14ac:dyDescent="0.25">
      <c r="A11" s="14"/>
      <c r="B11" s="650" t="s">
        <v>137</v>
      </c>
      <c r="C11" s="661" t="s">
        <v>58</v>
      </c>
      <c r="D11" s="464" t="s">
        <v>45</v>
      </c>
      <c r="E11" s="126" t="s">
        <v>26</v>
      </c>
      <c r="F11" s="126" t="s">
        <v>26</v>
      </c>
      <c r="G11" s="141" t="s">
        <v>57</v>
      </c>
      <c r="H11" s="322"/>
      <c r="I11" s="323" t="s">
        <v>35</v>
      </c>
      <c r="J11" s="71" t="s">
        <v>44</v>
      </c>
      <c r="K11" s="255" t="s">
        <v>92</v>
      </c>
      <c r="L11" s="318" t="s">
        <v>71</v>
      </c>
      <c r="M11" s="311" t="s">
        <v>97</v>
      </c>
      <c r="N11" s="234" t="s">
        <v>77</v>
      </c>
      <c r="O11" s="430" t="s">
        <v>82</v>
      </c>
      <c r="P11" s="399"/>
      <c r="Q11" s="397"/>
      <c r="R11" s="325"/>
      <c r="S11" s="325"/>
      <c r="T11" s="325"/>
      <c r="U11" s="325"/>
      <c r="V11" s="430" t="s">
        <v>86</v>
      </c>
      <c r="W11" s="413" t="s">
        <v>43</v>
      </c>
      <c r="X11" s="523"/>
      <c r="Y11" s="1100"/>
      <c r="Z11" s="1101"/>
      <c r="AA11" s="571"/>
      <c r="AB11" s="611"/>
      <c r="AC11" s="586"/>
      <c r="AD11" s="566"/>
      <c r="AE11" s="566"/>
      <c r="AF11" s="645"/>
      <c r="AG11" s="587"/>
      <c r="AH11" s="509" t="s">
        <v>116</v>
      </c>
      <c r="AI11" s="637" t="s">
        <v>43</v>
      </c>
      <c r="AJ11" s="493"/>
      <c r="AK11" s="1104"/>
      <c r="AL11" s="1105"/>
      <c r="AM11" s="541"/>
      <c r="AN11" s="1108"/>
      <c r="AO11" s="1109"/>
      <c r="AP11" s="120"/>
      <c r="AQ11" s="612"/>
      <c r="AR11" s="631"/>
      <c r="AS11" s="234"/>
    </row>
    <row r="12" spans="1:57" ht="18" customHeight="1" thickBot="1" x14ac:dyDescent="0.3">
      <c r="A12" s="15" t="s">
        <v>0</v>
      </c>
      <c r="B12" s="651" t="s">
        <v>138</v>
      </c>
      <c r="C12" s="661" t="s">
        <v>105</v>
      </c>
      <c r="D12" s="465" t="s">
        <v>46</v>
      </c>
      <c r="E12" s="255" t="s">
        <v>61</v>
      </c>
      <c r="F12" s="140"/>
      <c r="G12" s="143" t="s">
        <v>49</v>
      </c>
      <c r="H12" s="321" t="s">
        <v>49</v>
      </c>
      <c r="I12" s="324" t="s">
        <v>36</v>
      </c>
      <c r="J12" s="72" t="s">
        <v>27</v>
      </c>
      <c r="K12" s="275" t="s">
        <v>93</v>
      </c>
      <c r="L12" s="291" t="s">
        <v>98</v>
      </c>
      <c r="M12" s="313" t="s">
        <v>93</v>
      </c>
      <c r="N12" s="235" t="s">
        <v>27</v>
      </c>
      <c r="O12" s="431" t="s">
        <v>68</v>
      </c>
      <c r="P12" s="400"/>
      <c r="Q12" s="275"/>
      <c r="R12" s="291"/>
      <c r="S12" s="275"/>
      <c r="T12" s="291"/>
      <c r="U12" s="275"/>
      <c r="V12" s="431" t="s">
        <v>27</v>
      </c>
      <c r="W12" s="414" t="s">
        <v>83</v>
      </c>
      <c r="X12" s="523"/>
      <c r="Y12" s="34" t="s">
        <v>28</v>
      </c>
      <c r="Z12" s="515" t="s">
        <v>29</v>
      </c>
      <c r="AA12" s="493"/>
      <c r="AB12" s="613"/>
      <c r="AC12" s="588"/>
      <c r="AD12" s="567"/>
      <c r="AE12" s="567"/>
      <c r="AF12" s="646"/>
      <c r="AG12" s="589"/>
      <c r="AH12" s="510" t="s">
        <v>27</v>
      </c>
      <c r="AI12" s="638" t="s">
        <v>68</v>
      </c>
      <c r="AJ12" s="493"/>
      <c r="AK12" s="34" t="s">
        <v>28</v>
      </c>
      <c r="AL12" s="515" t="s">
        <v>29</v>
      </c>
      <c r="AM12" s="542"/>
      <c r="AN12" s="545" t="s">
        <v>28</v>
      </c>
      <c r="AO12" s="577" t="s">
        <v>29</v>
      </c>
      <c r="AP12" s="120"/>
      <c r="AQ12" s="612"/>
      <c r="AR12" s="631"/>
      <c r="AS12" s="234"/>
    </row>
    <row r="13" spans="1:57" ht="15.75" x14ac:dyDescent="0.25">
      <c r="A13" s="3" t="s">
        <v>17</v>
      </c>
      <c r="B13" s="652"/>
      <c r="C13" s="662"/>
      <c r="D13" s="466"/>
      <c r="E13" s="270"/>
      <c r="F13" s="273"/>
      <c r="G13" s="270"/>
      <c r="H13" s="137"/>
      <c r="I13" s="669"/>
      <c r="J13" s="73"/>
      <c r="K13" s="236"/>
      <c r="L13" s="292"/>
      <c r="M13" s="36"/>
      <c r="N13" s="236"/>
      <c r="O13" s="432"/>
      <c r="P13" s="285"/>
      <c r="Q13" s="236"/>
      <c r="R13" s="292"/>
      <c r="S13" s="236"/>
      <c r="T13" s="292"/>
      <c r="U13" s="236"/>
      <c r="V13" s="432"/>
      <c r="W13" s="415"/>
      <c r="X13" s="524"/>
      <c r="Y13" s="389"/>
      <c r="Z13" s="236"/>
      <c r="AA13" s="494"/>
      <c r="AB13" s="614"/>
      <c r="AC13" s="590"/>
      <c r="AD13" s="489"/>
      <c r="AE13" s="489"/>
      <c r="AF13" s="647"/>
      <c r="AG13" s="591"/>
      <c r="AH13" s="551"/>
      <c r="AI13" s="552"/>
      <c r="AJ13" s="494"/>
      <c r="AK13" s="498"/>
      <c r="AL13" s="530"/>
      <c r="AM13" s="543"/>
      <c r="AO13" s="36"/>
      <c r="AQ13" s="531"/>
      <c r="AR13" s="606"/>
    </row>
    <row r="14" spans="1:57" ht="16.5" x14ac:dyDescent="0.3">
      <c r="A14" s="263" t="s">
        <v>1</v>
      </c>
      <c r="B14" s="664">
        <v>1979998</v>
      </c>
      <c r="C14" s="376">
        <v>0</v>
      </c>
      <c r="D14" s="665">
        <v>0</v>
      </c>
      <c r="E14" s="2">
        <f>4898+1744</f>
        <v>6642</v>
      </c>
      <c r="F14" s="58">
        <v>10156</v>
      </c>
      <c r="G14" s="207">
        <v>2423</v>
      </c>
      <c r="H14" s="58">
        <v>23213</v>
      </c>
      <c r="I14" s="217">
        <v>34854</v>
      </c>
      <c r="J14" s="74">
        <f>SUM(E14:I14)</f>
        <v>77288</v>
      </c>
      <c r="K14" s="267">
        <v>75000</v>
      </c>
      <c r="L14" s="319">
        <v>0</v>
      </c>
      <c r="M14" s="314">
        <v>0</v>
      </c>
      <c r="N14" s="237">
        <f>SUM(K14:M14)</f>
        <v>75000</v>
      </c>
      <c r="O14" s="433">
        <f>+J14+N14</f>
        <v>152288</v>
      </c>
      <c r="P14" s="286">
        <v>0</v>
      </c>
      <c r="Q14" s="58">
        <v>0</v>
      </c>
      <c r="R14" s="293">
        <v>0</v>
      </c>
      <c r="S14" s="58">
        <v>0</v>
      </c>
      <c r="T14" s="293">
        <v>0</v>
      </c>
      <c r="U14" s="58">
        <v>0</v>
      </c>
      <c r="V14" s="425">
        <f>SUM(P14:U14)</f>
        <v>0</v>
      </c>
      <c r="W14" s="416">
        <f>+B14+O14+V14</f>
        <v>2132286</v>
      </c>
      <c r="X14" s="525"/>
      <c r="Y14" s="390">
        <f>W14-B14</f>
        <v>152288</v>
      </c>
      <c r="Z14" s="516">
        <f t="shared" ref="Z14:Z31" si="0">IF(B14=0,0,Y14/B14)</f>
        <v>7.6913209003241417E-2</v>
      </c>
      <c r="AA14" s="572"/>
      <c r="AB14" s="615"/>
      <c r="AC14" s="592">
        <v>0</v>
      </c>
      <c r="AD14" s="511">
        <v>0</v>
      </c>
      <c r="AE14" s="511">
        <v>0</v>
      </c>
      <c r="AF14" s="648">
        <v>0</v>
      </c>
      <c r="AG14" s="593">
        <v>0</v>
      </c>
      <c r="AH14" s="553">
        <f>SUM(AC14:AG14)</f>
        <v>0</v>
      </c>
      <c r="AI14" s="554">
        <f>SUM(W14+AH14)</f>
        <v>2132286</v>
      </c>
      <c r="AJ14" s="495"/>
      <c r="AK14" s="499">
        <f>AI14-B14</f>
        <v>152288</v>
      </c>
      <c r="AL14" s="532">
        <f t="shared" ref="AL14:AL23" si="1">IF(B14=0,0,AK14/B14)</f>
        <v>7.6913209003241417E-2</v>
      </c>
      <c r="AM14" s="544"/>
      <c r="AN14" s="124">
        <f>AI14-W14</f>
        <v>0</v>
      </c>
      <c r="AO14" s="127">
        <f t="shared" ref="AO14:AO31" si="2">IF(W14=0,0,AN14/W14)</f>
        <v>0</v>
      </c>
      <c r="AP14" s="207"/>
      <c r="AQ14" s="616"/>
      <c r="AR14" s="632"/>
      <c r="AS14" s="207"/>
      <c r="BA14" s="207">
        <f>+AZ14-AY14</f>
        <v>0</v>
      </c>
      <c r="BE14" s="95">
        <v>314221804</v>
      </c>
    </row>
    <row r="15" spans="1:57" ht="15.75" customHeight="1" x14ac:dyDescent="0.3">
      <c r="A15" s="263" t="s">
        <v>2</v>
      </c>
      <c r="B15" s="664">
        <v>186829</v>
      </c>
      <c r="C15" s="376">
        <v>0</v>
      </c>
      <c r="D15" s="665">
        <v>0</v>
      </c>
      <c r="E15" s="2">
        <f>587+205</f>
        <v>792</v>
      </c>
      <c r="F15" s="58">
        <v>1066</v>
      </c>
      <c r="G15" s="207">
        <v>57</v>
      </c>
      <c r="H15" s="58">
        <v>1999</v>
      </c>
      <c r="I15" s="217">
        <v>3266</v>
      </c>
      <c r="J15" s="74">
        <f>SUM(E15:I15)</f>
        <v>7180</v>
      </c>
      <c r="K15" s="267">
        <v>0</v>
      </c>
      <c r="L15" s="319">
        <v>0</v>
      </c>
      <c r="M15" s="217">
        <v>0</v>
      </c>
      <c r="N15" s="237">
        <f>SUM(K15:M15)</f>
        <v>0</v>
      </c>
      <c r="O15" s="433">
        <f>+J15+N15</f>
        <v>7180</v>
      </c>
      <c r="P15" s="286">
        <v>0</v>
      </c>
      <c r="Q15" s="58">
        <v>0</v>
      </c>
      <c r="R15" s="293">
        <v>0</v>
      </c>
      <c r="S15" s="58">
        <v>0</v>
      </c>
      <c r="T15" s="293">
        <v>0</v>
      </c>
      <c r="U15" s="58">
        <v>0</v>
      </c>
      <c r="V15" s="425">
        <f>SUM(P15:U15)</f>
        <v>0</v>
      </c>
      <c r="W15" s="416">
        <f>+B15+O15+V15</f>
        <v>194009</v>
      </c>
      <c r="X15" s="525"/>
      <c r="Y15" s="390">
        <f>W15-B15</f>
        <v>7180</v>
      </c>
      <c r="Z15" s="516">
        <f t="shared" si="0"/>
        <v>3.8430864587403454E-2</v>
      </c>
      <c r="AA15" s="572"/>
      <c r="AB15" s="615"/>
      <c r="AC15" s="592">
        <v>0</v>
      </c>
      <c r="AD15" s="511">
        <v>0</v>
      </c>
      <c r="AE15" s="511">
        <v>0</v>
      </c>
      <c r="AF15" s="648">
        <v>0</v>
      </c>
      <c r="AG15" s="593">
        <v>0</v>
      </c>
      <c r="AH15" s="553">
        <f>SUM(AC15:AG15)</f>
        <v>0</v>
      </c>
      <c r="AI15" s="554">
        <f>SUM(W15+AH15)</f>
        <v>194009</v>
      </c>
      <c r="AJ15" s="495"/>
      <c r="AK15" s="499">
        <f>AI15-B15</f>
        <v>7180</v>
      </c>
      <c r="AL15" s="532">
        <f t="shared" si="1"/>
        <v>3.8430864587403454E-2</v>
      </c>
      <c r="AM15" s="544"/>
      <c r="AN15" s="124">
        <f>AI15-W15</f>
        <v>0</v>
      </c>
      <c r="AO15" s="127">
        <f t="shared" si="2"/>
        <v>0</v>
      </c>
      <c r="AP15" s="207"/>
      <c r="AQ15" s="616"/>
      <c r="AR15" s="632"/>
      <c r="AS15" s="207"/>
      <c r="BA15" s="207">
        <f>+AZ15-AY15</f>
        <v>0</v>
      </c>
      <c r="BE15" s="95">
        <v>29863402</v>
      </c>
    </row>
    <row r="16" spans="1:57" ht="16.5" x14ac:dyDescent="0.3">
      <c r="A16" s="263" t="s">
        <v>3</v>
      </c>
      <c r="B16" s="664">
        <v>111143</v>
      </c>
      <c r="C16" s="376">
        <v>0</v>
      </c>
      <c r="D16" s="665">
        <v>0</v>
      </c>
      <c r="E16" s="2">
        <f>212+74</f>
        <v>286</v>
      </c>
      <c r="F16" s="58">
        <v>530</v>
      </c>
      <c r="G16" s="207">
        <v>20</v>
      </c>
      <c r="H16" s="58">
        <v>1048</v>
      </c>
      <c r="I16" s="217">
        <v>1521</v>
      </c>
      <c r="J16" s="74">
        <f>SUM(E16:I16)</f>
        <v>3405</v>
      </c>
      <c r="K16" s="268">
        <v>0</v>
      </c>
      <c r="L16" s="320">
        <v>0</v>
      </c>
      <c r="M16" s="217">
        <v>0</v>
      </c>
      <c r="N16" s="237">
        <f>SUM(K16:M16)</f>
        <v>0</v>
      </c>
      <c r="O16" s="433">
        <f>+J16+N16</f>
        <v>3405</v>
      </c>
      <c r="P16" s="286">
        <v>0</v>
      </c>
      <c r="Q16" s="58">
        <v>0</v>
      </c>
      <c r="R16" s="293">
        <v>0</v>
      </c>
      <c r="S16" s="58">
        <v>0</v>
      </c>
      <c r="T16" s="293">
        <v>0</v>
      </c>
      <c r="U16" s="58">
        <v>0</v>
      </c>
      <c r="V16" s="425">
        <f>SUM(P16:U16)</f>
        <v>0</v>
      </c>
      <c r="W16" s="416">
        <f>+B16+O16+V16</f>
        <v>114548</v>
      </c>
      <c r="X16" s="525"/>
      <c r="Y16" s="390">
        <f>W16-B16</f>
        <v>3405</v>
      </c>
      <c r="Z16" s="516">
        <f t="shared" si="0"/>
        <v>3.0636207408473767E-2</v>
      </c>
      <c r="AA16" s="572"/>
      <c r="AB16" s="615"/>
      <c r="AC16" s="592">
        <v>0</v>
      </c>
      <c r="AD16" s="511">
        <v>0</v>
      </c>
      <c r="AE16" s="511">
        <v>0</v>
      </c>
      <c r="AF16" s="648">
        <v>0</v>
      </c>
      <c r="AG16" s="593">
        <v>0</v>
      </c>
      <c r="AH16" s="553">
        <f>SUM(AC16:AG16)</f>
        <v>0</v>
      </c>
      <c r="AI16" s="554">
        <f>SUM(W16+AH16)</f>
        <v>114548</v>
      </c>
      <c r="AJ16" s="495"/>
      <c r="AK16" s="499">
        <f>AI16-B16</f>
        <v>3405</v>
      </c>
      <c r="AL16" s="532">
        <f t="shared" si="1"/>
        <v>3.0636207408473767E-2</v>
      </c>
      <c r="AM16" s="544"/>
      <c r="AN16" s="124">
        <f>AI16-W16</f>
        <v>0</v>
      </c>
      <c r="AO16" s="127">
        <f t="shared" si="2"/>
        <v>0</v>
      </c>
      <c r="AP16" s="207"/>
      <c r="AQ16" s="616"/>
      <c r="AR16" s="632"/>
      <c r="AS16" s="207"/>
      <c r="BA16" s="207">
        <f>+AZ16-AY16</f>
        <v>0</v>
      </c>
      <c r="BE16" s="95">
        <v>11174379</v>
      </c>
    </row>
    <row r="17" spans="1:57" ht="16.5" x14ac:dyDescent="0.3">
      <c r="A17" s="263" t="s">
        <v>4</v>
      </c>
      <c r="B17" s="664">
        <v>233286</v>
      </c>
      <c r="C17" s="376">
        <v>0</v>
      </c>
      <c r="D17" s="665">
        <v>0</v>
      </c>
      <c r="E17" s="2">
        <f>170+55</f>
        <v>225</v>
      </c>
      <c r="F17" s="58">
        <v>1414</v>
      </c>
      <c r="G17" s="207">
        <v>31</v>
      </c>
      <c r="H17" s="58">
        <v>3373</v>
      </c>
      <c r="I17" s="217">
        <v>4087</v>
      </c>
      <c r="J17" s="74">
        <f>SUM(E17:I17)</f>
        <v>9130</v>
      </c>
      <c r="K17" s="268">
        <v>0</v>
      </c>
      <c r="L17" s="320">
        <v>0</v>
      </c>
      <c r="M17" s="217">
        <v>0</v>
      </c>
      <c r="N17" s="237">
        <f>SUM(K17:M17)</f>
        <v>0</v>
      </c>
      <c r="O17" s="433">
        <f>+J17+N17</f>
        <v>9130</v>
      </c>
      <c r="P17" s="286">
        <v>0</v>
      </c>
      <c r="Q17" s="58">
        <v>0</v>
      </c>
      <c r="R17" s="293">
        <v>0</v>
      </c>
      <c r="S17" s="58">
        <v>0</v>
      </c>
      <c r="T17" s="293">
        <v>0</v>
      </c>
      <c r="U17" s="58">
        <v>0</v>
      </c>
      <c r="V17" s="425">
        <f>SUM(P17:U17)</f>
        <v>0</v>
      </c>
      <c r="W17" s="416">
        <f>+B17+O17+V17</f>
        <v>242416</v>
      </c>
      <c r="X17" s="525"/>
      <c r="Y17" s="390">
        <f>W17-B17</f>
        <v>9130</v>
      </c>
      <c r="Z17" s="516">
        <f t="shared" si="0"/>
        <v>3.9136510549282855E-2</v>
      </c>
      <c r="AA17" s="572"/>
      <c r="AB17" s="615"/>
      <c r="AC17" s="592">
        <v>0</v>
      </c>
      <c r="AD17" s="511">
        <v>0</v>
      </c>
      <c r="AE17" s="511">
        <v>0</v>
      </c>
      <c r="AF17" s="648">
        <v>0</v>
      </c>
      <c r="AG17" s="593">
        <v>0</v>
      </c>
      <c r="AH17" s="553">
        <f>SUM(AC17:AG17)</f>
        <v>0</v>
      </c>
      <c r="AI17" s="554">
        <f>SUM(W17+AH17)</f>
        <v>242416</v>
      </c>
      <c r="AJ17" s="495"/>
      <c r="AK17" s="499">
        <f>AI17-B17</f>
        <v>9130</v>
      </c>
      <c r="AL17" s="532">
        <f t="shared" si="1"/>
        <v>3.9136510549282855E-2</v>
      </c>
      <c r="AM17" s="544"/>
      <c r="AN17" s="124">
        <f>AI17-W17</f>
        <v>0</v>
      </c>
      <c r="AO17" s="127">
        <f t="shared" si="2"/>
        <v>0</v>
      </c>
      <c r="AP17" s="207"/>
      <c r="AQ17" s="616"/>
      <c r="AR17" s="632"/>
      <c r="AS17" s="207"/>
      <c r="BA17" s="207">
        <f>+AZ17-AY17</f>
        <v>0</v>
      </c>
      <c r="BE17" s="95">
        <v>31324734</v>
      </c>
    </row>
    <row r="18" spans="1:57" ht="16.5" x14ac:dyDescent="0.3">
      <c r="A18" s="263" t="s">
        <v>84</v>
      </c>
      <c r="B18" s="664">
        <v>962331</v>
      </c>
      <c r="C18" s="376">
        <v>0</v>
      </c>
      <c r="D18" s="665">
        <v>0</v>
      </c>
      <c r="E18" s="2">
        <v>0</v>
      </c>
      <c r="F18" s="58">
        <v>0</v>
      </c>
      <c r="G18" s="207">
        <v>0</v>
      </c>
      <c r="H18" s="58">
        <v>37382</v>
      </c>
      <c r="I18" s="217">
        <v>17721</v>
      </c>
      <c r="J18" s="74">
        <f>SUM(E18:I18)</f>
        <v>55103</v>
      </c>
      <c r="K18" s="267">
        <v>0</v>
      </c>
      <c r="L18" s="319">
        <v>0</v>
      </c>
      <c r="M18" s="217">
        <v>0</v>
      </c>
      <c r="N18" s="237">
        <f>SUM(K18:M18)</f>
        <v>0</v>
      </c>
      <c r="O18" s="433">
        <f>+J18+N18</f>
        <v>55103</v>
      </c>
      <c r="P18" s="286">
        <v>0</v>
      </c>
      <c r="Q18" s="58">
        <v>0</v>
      </c>
      <c r="R18" s="293">
        <v>0</v>
      </c>
      <c r="S18" s="58">
        <v>0</v>
      </c>
      <c r="T18" s="293">
        <v>0</v>
      </c>
      <c r="U18" s="58">
        <v>0</v>
      </c>
      <c r="V18" s="425">
        <f>SUM(P18:U18)</f>
        <v>0</v>
      </c>
      <c r="W18" s="416">
        <f>+B18+O18+V18</f>
        <v>1017434</v>
      </c>
      <c r="X18" s="525"/>
      <c r="Y18" s="390">
        <f>W18-B18</f>
        <v>55103</v>
      </c>
      <c r="Z18" s="516">
        <f t="shared" si="0"/>
        <v>5.7259924080176154E-2</v>
      </c>
      <c r="AA18" s="572"/>
      <c r="AB18" s="615"/>
      <c r="AC18" s="592">
        <v>0</v>
      </c>
      <c r="AD18" s="511">
        <v>0</v>
      </c>
      <c r="AE18" s="511">
        <v>0</v>
      </c>
      <c r="AF18" s="648">
        <v>0</v>
      </c>
      <c r="AG18" s="593">
        <v>0</v>
      </c>
      <c r="AH18" s="553">
        <f>SUM(AC18:AG18)</f>
        <v>0</v>
      </c>
      <c r="AI18" s="554">
        <f>SUM(W18+AH18)</f>
        <v>1017434</v>
      </c>
      <c r="AJ18" s="495"/>
      <c r="AK18" s="499">
        <f>AI18-B18</f>
        <v>55103</v>
      </c>
      <c r="AL18" s="532">
        <f t="shared" si="1"/>
        <v>5.7259924080176154E-2</v>
      </c>
      <c r="AM18" s="544"/>
      <c r="AN18" s="124">
        <f>AI18-W18</f>
        <v>0</v>
      </c>
      <c r="AO18" s="127">
        <f t="shared" si="2"/>
        <v>0</v>
      </c>
      <c r="AP18" s="207"/>
      <c r="AQ18" s="616"/>
      <c r="AR18" s="632"/>
      <c r="AS18" s="207"/>
      <c r="BA18" s="207"/>
      <c r="BE18" s="95">
        <v>85416008</v>
      </c>
    </row>
    <row r="19" spans="1:57" ht="16.5" x14ac:dyDescent="0.3">
      <c r="A19" s="264" t="s">
        <v>21</v>
      </c>
      <c r="B19" s="653">
        <f>SUM(B14:B18)</f>
        <v>3473587</v>
      </c>
      <c r="C19" s="663">
        <f t="shared" ref="C19:I19" si="3">SUM(C14:C18)</f>
        <v>0</v>
      </c>
      <c r="D19" s="468">
        <f t="shared" si="3"/>
        <v>0</v>
      </c>
      <c r="E19" s="332">
        <f t="shared" si="3"/>
        <v>7945</v>
      </c>
      <c r="F19" s="333">
        <f t="shared" si="3"/>
        <v>13166</v>
      </c>
      <c r="G19" s="334">
        <f t="shared" si="3"/>
        <v>2531</v>
      </c>
      <c r="H19" s="335">
        <f t="shared" si="3"/>
        <v>67015</v>
      </c>
      <c r="I19" s="336">
        <f t="shared" si="3"/>
        <v>61449</v>
      </c>
      <c r="J19" s="75">
        <f t="shared" ref="J19:W19" si="4">SUM(J14:J18)</f>
        <v>152106</v>
      </c>
      <c r="K19" s="123">
        <f t="shared" si="4"/>
        <v>75000</v>
      </c>
      <c r="L19" s="294">
        <f>SUM(L14:L18)</f>
        <v>0</v>
      </c>
      <c r="M19" s="315">
        <f t="shared" si="4"/>
        <v>0</v>
      </c>
      <c r="N19" s="96">
        <f t="shared" si="4"/>
        <v>75000</v>
      </c>
      <c r="O19" s="434">
        <f t="shared" si="4"/>
        <v>227106</v>
      </c>
      <c r="P19" s="287">
        <f t="shared" si="4"/>
        <v>0</v>
      </c>
      <c r="Q19" s="272">
        <f t="shared" si="4"/>
        <v>0</v>
      </c>
      <c r="R19" s="294">
        <f t="shared" si="4"/>
        <v>0</v>
      </c>
      <c r="S19" s="272">
        <f t="shared" si="4"/>
        <v>0</v>
      </c>
      <c r="T19" s="294">
        <f t="shared" si="4"/>
        <v>0</v>
      </c>
      <c r="U19" s="272">
        <f t="shared" si="4"/>
        <v>0</v>
      </c>
      <c r="V19" s="422">
        <f t="shared" si="4"/>
        <v>0</v>
      </c>
      <c r="W19" s="417">
        <f t="shared" si="4"/>
        <v>3700693</v>
      </c>
      <c r="X19" s="525"/>
      <c r="Y19" s="391">
        <f>SUM(Y14:Y18)</f>
        <v>227106</v>
      </c>
      <c r="Z19" s="517">
        <f t="shared" si="0"/>
        <v>6.5380829672612203E-2</v>
      </c>
      <c r="AA19" s="572"/>
      <c r="AB19" s="615"/>
      <c r="AC19" s="594">
        <f t="shared" ref="AC19:AH19" si="5">SUM(AC13:AC18)</f>
        <v>0</v>
      </c>
      <c r="AD19" s="537">
        <f t="shared" si="5"/>
        <v>0</v>
      </c>
      <c r="AE19" s="537">
        <f t="shared" si="5"/>
        <v>0</v>
      </c>
      <c r="AF19" s="537">
        <f t="shared" si="5"/>
        <v>0</v>
      </c>
      <c r="AG19" s="595">
        <f t="shared" si="5"/>
        <v>0</v>
      </c>
      <c r="AH19" s="555">
        <f t="shared" si="5"/>
        <v>0</v>
      </c>
      <c r="AI19" s="556">
        <f>SUM(AI14:AI18)</f>
        <v>3700693</v>
      </c>
      <c r="AJ19" s="495"/>
      <c r="AK19" s="500">
        <f>SUM(AK14:AK18)</f>
        <v>227106</v>
      </c>
      <c r="AL19" s="533">
        <f t="shared" si="1"/>
        <v>6.5380829672612203E-2</v>
      </c>
      <c r="AM19" s="544"/>
      <c r="AN19" s="546">
        <f>SUM(AN14:AN18)</f>
        <v>0</v>
      </c>
      <c r="AO19" s="578">
        <f t="shared" si="2"/>
        <v>0</v>
      </c>
      <c r="AP19" s="207"/>
      <c r="AQ19" s="616"/>
      <c r="AR19" s="632"/>
      <c r="AS19" s="207"/>
      <c r="BA19" s="123">
        <f>SUM(BA14:BA18)</f>
        <v>0</v>
      </c>
      <c r="BE19" s="96">
        <f>SUM(BE14:BE18)</f>
        <v>472000327</v>
      </c>
    </row>
    <row r="20" spans="1:57" ht="16.5" x14ac:dyDescent="0.3">
      <c r="A20" s="263" t="s">
        <v>6</v>
      </c>
      <c r="B20" s="664">
        <v>82040</v>
      </c>
      <c r="C20" s="376">
        <v>0</v>
      </c>
      <c r="D20" s="665">
        <v>0</v>
      </c>
      <c r="E20" s="207">
        <f>224+78</f>
        <v>302</v>
      </c>
      <c r="F20" s="58">
        <v>494</v>
      </c>
      <c r="G20" s="207">
        <v>27</v>
      </c>
      <c r="H20" s="58">
        <v>2031</v>
      </c>
      <c r="I20" s="217">
        <v>1432</v>
      </c>
      <c r="J20" s="74">
        <f>SUM(E20:I20)</f>
        <v>4286</v>
      </c>
      <c r="K20" s="268">
        <v>0</v>
      </c>
      <c r="L20" s="320">
        <v>0</v>
      </c>
      <c r="M20" s="217">
        <v>0</v>
      </c>
      <c r="N20" s="237">
        <f>SUM(K20:M20)</f>
        <v>0</v>
      </c>
      <c r="O20" s="433">
        <f>+J20+N20</f>
        <v>4286</v>
      </c>
      <c r="P20" s="286">
        <v>0</v>
      </c>
      <c r="Q20" s="58">
        <v>0</v>
      </c>
      <c r="R20" s="293">
        <v>0</v>
      </c>
      <c r="S20" s="58">
        <v>0</v>
      </c>
      <c r="T20" s="293">
        <v>0</v>
      </c>
      <c r="U20" s="58">
        <v>0</v>
      </c>
      <c r="V20" s="425">
        <f>SUM(P20:U20)</f>
        <v>0</v>
      </c>
      <c r="W20" s="416">
        <f>+B20+O20+V20</f>
        <v>86326</v>
      </c>
      <c r="X20" s="525"/>
      <c r="Y20" s="390">
        <f>W20-B20</f>
        <v>4286</v>
      </c>
      <c r="Z20" s="516">
        <f t="shared" si="0"/>
        <v>5.2242808386153097E-2</v>
      </c>
      <c r="AA20" s="572"/>
      <c r="AB20" s="615"/>
      <c r="AC20" s="592">
        <v>0</v>
      </c>
      <c r="AD20" s="511">
        <v>0</v>
      </c>
      <c r="AE20" s="511">
        <v>0</v>
      </c>
      <c r="AF20" s="648">
        <v>0</v>
      </c>
      <c r="AG20" s="593">
        <v>0</v>
      </c>
      <c r="AH20" s="553">
        <f>SUM(AC20:AG20)</f>
        <v>0</v>
      </c>
      <c r="AI20" s="554">
        <f>SUM(W20+AH20)</f>
        <v>86326</v>
      </c>
      <c r="AJ20" s="495"/>
      <c r="AK20" s="501">
        <f>SUM(AI20-B20)</f>
        <v>4286</v>
      </c>
      <c r="AL20" s="532">
        <f t="shared" si="1"/>
        <v>5.2242808386153097E-2</v>
      </c>
      <c r="AM20" s="544"/>
      <c r="AN20" s="124">
        <f>AI20-W20</f>
        <v>0</v>
      </c>
      <c r="AO20" s="127">
        <f t="shared" si="2"/>
        <v>0</v>
      </c>
      <c r="AP20" s="207"/>
      <c r="AQ20" s="616"/>
      <c r="AR20" s="632"/>
      <c r="AS20" s="207"/>
      <c r="BA20" s="207">
        <f>+AZ20-AY20</f>
        <v>0</v>
      </c>
      <c r="BE20" s="95">
        <v>9878519</v>
      </c>
    </row>
    <row r="21" spans="1:57" ht="16.5" x14ac:dyDescent="0.3">
      <c r="A21" s="263" t="s">
        <v>7</v>
      </c>
      <c r="B21" s="664">
        <v>19545</v>
      </c>
      <c r="C21" s="376">
        <v>0</v>
      </c>
      <c r="D21" s="665">
        <v>0</v>
      </c>
      <c r="E21" s="207">
        <f>31+10</f>
        <v>41</v>
      </c>
      <c r="F21" s="58">
        <v>134</v>
      </c>
      <c r="G21" s="207">
        <v>2</v>
      </c>
      <c r="H21" s="58">
        <v>596</v>
      </c>
      <c r="I21" s="217">
        <v>344</v>
      </c>
      <c r="J21" s="74">
        <f>SUM(E21:I21)</f>
        <v>1117</v>
      </c>
      <c r="K21" s="268">
        <v>0</v>
      </c>
      <c r="L21" s="320">
        <v>0</v>
      </c>
      <c r="M21" s="217">
        <v>0</v>
      </c>
      <c r="N21" s="237">
        <f>SUM(K21:M21)</f>
        <v>0</v>
      </c>
      <c r="O21" s="433">
        <f>+J21+N21</f>
        <v>1117</v>
      </c>
      <c r="P21" s="286">
        <v>0</v>
      </c>
      <c r="Q21" s="58">
        <v>0</v>
      </c>
      <c r="R21" s="293">
        <v>0</v>
      </c>
      <c r="S21" s="58">
        <v>0</v>
      </c>
      <c r="T21" s="293">
        <v>0</v>
      </c>
      <c r="U21" s="58">
        <v>0</v>
      </c>
      <c r="V21" s="425">
        <f>SUM(P21:U21)</f>
        <v>0</v>
      </c>
      <c r="W21" s="416">
        <f>+B21+O21+V21</f>
        <v>20662</v>
      </c>
      <c r="X21" s="525"/>
      <c r="Y21" s="390">
        <f>W21-B21</f>
        <v>1117</v>
      </c>
      <c r="Z21" s="516">
        <f t="shared" si="0"/>
        <v>5.7150166282936815E-2</v>
      </c>
      <c r="AA21" s="572"/>
      <c r="AB21" s="615"/>
      <c r="AC21" s="592">
        <v>0</v>
      </c>
      <c r="AD21" s="511">
        <v>0</v>
      </c>
      <c r="AE21" s="511">
        <v>0</v>
      </c>
      <c r="AF21" s="648">
        <v>0</v>
      </c>
      <c r="AG21" s="593">
        <v>0</v>
      </c>
      <c r="AH21" s="553">
        <f>SUM(AC21:AG21)</f>
        <v>0</v>
      </c>
      <c r="AI21" s="554">
        <f>SUM(W21+AH21)</f>
        <v>20662</v>
      </c>
      <c r="AJ21" s="495"/>
      <c r="AK21" s="501">
        <f>SUM(AI21-B21)</f>
        <v>1117</v>
      </c>
      <c r="AL21" s="532">
        <f t="shared" si="1"/>
        <v>5.7150166282936815E-2</v>
      </c>
      <c r="AM21" s="544"/>
      <c r="AN21" s="124">
        <f>AI21-W21</f>
        <v>0</v>
      </c>
      <c r="AO21" s="127">
        <f t="shared" si="2"/>
        <v>0</v>
      </c>
      <c r="AP21" s="207"/>
      <c r="AQ21" s="616"/>
      <c r="AR21" s="632"/>
      <c r="AS21" s="207"/>
      <c r="BA21" s="207">
        <f>+AZ21-AY21</f>
        <v>0</v>
      </c>
      <c r="BE21" s="95">
        <v>2461441</v>
      </c>
    </row>
    <row r="22" spans="1:57" ht="16.5" x14ac:dyDescent="0.3">
      <c r="A22" s="263" t="s">
        <v>8</v>
      </c>
      <c r="B22" s="664">
        <v>62428</v>
      </c>
      <c r="C22" s="376">
        <v>0</v>
      </c>
      <c r="D22" s="665">
        <v>0</v>
      </c>
      <c r="E22" s="207">
        <f>6+1</f>
        <v>7</v>
      </c>
      <c r="F22" s="58">
        <v>493</v>
      </c>
      <c r="G22" s="207">
        <v>1</v>
      </c>
      <c r="H22" s="58">
        <v>2336</v>
      </c>
      <c r="I22" s="217">
        <v>1123</v>
      </c>
      <c r="J22" s="74">
        <f>SUM(E22:I22)</f>
        <v>3960</v>
      </c>
      <c r="K22" s="267">
        <v>0</v>
      </c>
      <c r="L22" s="319">
        <v>0</v>
      </c>
      <c r="M22" s="217">
        <v>0</v>
      </c>
      <c r="N22" s="237">
        <f>SUM(K22:M22)</f>
        <v>0</v>
      </c>
      <c r="O22" s="433">
        <f>+J22+N22</f>
        <v>3960</v>
      </c>
      <c r="P22" s="286">
        <v>0</v>
      </c>
      <c r="Q22" s="58">
        <v>0</v>
      </c>
      <c r="R22" s="293">
        <v>0</v>
      </c>
      <c r="S22" s="58">
        <v>0</v>
      </c>
      <c r="T22" s="293">
        <v>0</v>
      </c>
      <c r="U22" s="58">
        <v>0</v>
      </c>
      <c r="V22" s="425">
        <f>SUM(P22:U22)</f>
        <v>0</v>
      </c>
      <c r="W22" s="416">
        <f>+B22+O22+V22</f>
        <v>66388</v>
      </c>
      <c r="X22" s="525"/>
      <c r="Y22" s="390">
        <f>W22-B22</f>
        <v>3960</v>
      </c>
      <c r="Z22" s="516">
        <f t="shared" si="0"/>
        <v>6.3433074902287431E-2</v>
      </c>
      <c r="AA22" s="572"/>
      <c r="AB22" s="615"/>
      <c r="AC22" s="592">
        <v>0</v>
      </c>
      <c r="AD22" s="511">
        <v>0</v>
      </c>
      <c r="AE22" s="511">
        <v>0</v>
      </c>
      <c r="AF22" s="648">
        <v>0</v>
      </c>
      <c r="AG22" s="593">
        <v>0</v>
      </c>
      <c r="AH22" s="553">
        <f>SUM(AC22:AG22)</f>
        <v>0</v>
      </c>
      <c r="AI22" s="554">
        <f>SUM(W22+AH22)</f>
        <v>66388</v>
      </c>
      <c r="AJ22" s="495"/>
      <c r="AK22" s="501">
        <f>SUM(AI22-B22)</f>
        <v>3960</v>
      </c>
      <c r="AL22" s="532">
        <f t="shared" si="1"/>
        <v>6.3433074902287431E-2</v>
      </c>
      <c r="AM22" s="544"/>
      <c r="AN22" s="124">
        <f>AI22-W22</f>
        <v>0</v>
      </c>
      <c r="AO22" s="127">
        <f t="shared" si="2"/>
        <v>0</v>
      </c>
      <c r="AP22" s="207"/>
      <c r="AQ22" s="616"/>
      <c r="AR22" s="632"/>
      <c r="AS22" s="207"/>
      <c r="BA22" s="207"/>
      <c r="BE22" s="95">
        <v>4243368</v>
      </c>
    </row>
    <row r="23" spans="1:57" ht="16.5" x14ac:dyDescent="0.3">
      <c r="A23" s="263" t="s">
        <v>9</v>
      </c>
      <c r="B23" s="664">
        <v>2062</v>
      </c>
      <c r="C23" s="376">
        <v>0</v>
      </c>
      <c r="D23" s="665">
        <v>0</v>
      </c>
      <c r="E23" s="207">
        <v>0</v>
      </c>
      <c r="F23" s="58">
        <v>17</v>
      </c>
      <c r="G23" s="207">
        <v>0</v>
      </c>
      <c r="H23" s="58">
        <v>74</v>
      </c>
      <c r="I23" s="217">
        <v>35</v>
      </c>
      <c r="J23" s="74">
        <f>SUM(E23:I23)</f>
        <v>126</v>
      </c>
      <c r="K23" s="267">
        <v>0</v>
      </c>
      <c r="L23" s="319">
        <v>0</v>
      </c>
      <c r="M23" s="217">
        <v>0</v>
      </c>
      <c r="N23" s="237">
        <f>SUM(K23:M23)</f>
        <v>0</v>
      </c>
      <c r="O23" s="433">
        <f>+J23+N23</f>
        <v>126</v>
      </c>
      <c r="P23" s="286">
        <v>0</v>
      </c>
      <c r="Q23" s="58">
        <v>0</v>
      </c>
      <c r="R23" s="293">
        <v>0</v>
      </c>
      <c r="S23" s="58">
        <v>0</v>
      </c>
      <c r="T23" s="293">
        <v>0</v>
      </c>
      <c r="U23" s="58">
        <v>0</v>
      </c>
      <c r="V23" s="425">
        <f>SUM(P23:U23)</f>
        <v>0</v>
      </c>
      <c r="W23" s="416">
        <f>+B23+O23+V23</f>
        <v>2188</v>
      </c>
      <c r="X23" s="525"/>
      <c r="Y23" s="390">
        <f>W23-B23</f>
        <v>126</v>
      </c>
      <c r="Z23" s="516">
        <f t="shared" si="0"/>
        <v>6.1105722599418044E-2</v>
      </c>
      <c r="AA23" s="572"/>
      <c r="AB23" s="615"/>
      <c r="AC23" s="592">
        <v>0</v>
      </c>
      <c r="AD23" s="511">
        <v>0</v>
      </c>
      <c r="AE23" s="511">
        <v>0</v>
      </c>
      <c r="AF23" s="648">
        <v>0</v>
      </c>
      <c r="AG23" s="593">
        <v>0</v>
      </c>
      <c r="AH23" s="553">
        <f>SUM(AC23:AG23)</f>
        <v>0</v>
      </c>
      <c r="AI23" s="554">
        <f>SUM(W23+AH23)</f>
        <v>2188</v>
      </c>
      <c r="AJ23" s="495"/>
      <c r="AK23" s="501">
        <f>SUM(AI23-B23)</f>
        <v>126</v>
      </c>
      <c r="AL23" s="532">
        <f t="shared" si="1"/>
        <v>6.1105722599418044E-2</v>
      </c>
      <c r="AM23" s="544"/>
      <c r="AN23" s="124">
        <f>AI23-W23</f>
        <v>0</v>
      </c>
      <c r="AO23" s="127">
        <f t="shared" si="2"/>
        <v>0</v>
      </c>
      <c r="AP23" s="207"/>
      <c r="AQ23" s="616"/>
      <c r="AR23" s="632"/>
      <c r="AS23" s="207"/>
      <c r="BA23" s="207"/>
      <c r="BE23" s="95">
        <v>1826000</v>
      </c>
    </row>
    <row r="24" spans="1:57" ht="16.5" x14ac:dyDescent="0.3">
      <c r="A24" s="264" t="s">
        <v>24</v>
      </c>
      <c r="B24" s="653">
        <f>SUM(B20:B23)</f>
        <v>166075</v>
      </c>
      <c r="C24" s="663">
        <f t="shared" ref="C24:I24" si="6">SUM(C20:C23)</f>
        <v>0</v>
      </c>
      <c r="D24" s="468">
        <f t="shared" si="6"/>
        <v>0</v>
      </c>
      <c r="E24" s="332">
        <f t="shared" si="6"/>
        <v>350</v>
      </c>
      <c r="F24" s="333">
        <f t="shared" si="6"/>
        <v>1138</v>
      </c>
      <c r="G24" s="334">
        <f t="shared" si="6"/>
        <v>30</v>
      </c>
      <c r="H24" s="335">
        <f t="shared" si="6"/>
        <v>5037</v>
      </c>
      <c r="I24" s="336">
        <f t="shared" si="6"/>
        <v>2934</v>
      </c>
      <c r="J24" s="75">
        <f t="shared" ref="J24:W24" si="7">SUM(J20:J23)</f>
        <v>9489</v>
      </c>
      <c r="K24" s="123">
        <f t="shared" si="7"/>
        <v>0</v>
      </c>
      <c r="L24" s="294">
        <f>SUM(L20:L23)</f>
        <v>0</v>
      </c>
      <c r="M24" s="315">
        <f t="shared" si="7"/>
        <v>0</v>
      </c>
      <c r="N24" s="96">
        <f t="shared" si="7"/>
        <v>0</v>
      </c>
      <c r="O24" s="434">
        <f t="shared" si="7"/>
        <v>9489</v>
      </c>
      <c r="P24" s="287">
        <f t="shared" si="7"/>
        <v>0</v>
      </c>
      <c r="Q24" s="272">
        <f t="shared" si="7"/>
        <v>0</v>
      </c>
      <c r="R24" s="294">
        <f t="shared" si="7"/>
        <v>0</v>
      </c>
      <c r="S24" s="272">
        <f t="shared" si="7"/>
        <v>0</v>
      </c>
      <c r="T24" s="294">
        <f t="shared" si="7"/>
        <v>0</v>
      </c>
      <c r="U24" s="272">
        <f t="shared" si="7"/>
        <v>0</v>
      </c>
      <c r="V24" s="422">
        <f t="shared" si="7"/>
        <v>0</v>
      </c>
      <c r="W24" s="417">
        <f t="shared" si="7"/>
        <v>175564</v>
      </c>
      <c r="X24" s="525"/>
      <c r="Y24" s="391">
        <f>SUM(Y20:Y23)</f>
        <v>9489</v>
      </c>
      <c r="Z24" s="527">
        <f t="shared" si="0"/>
        <v>5.7136835766972753E-2</v>
      </c>
      <c r="AA24" s="572"/>
      <c r="AB24" s="615"/>
      <c r="AC24" s="594">
        <f t="shared" ref="AC24:AH24" si="8">SUM(AC20:AC23)</f>
        <v>0</v>
      </c>
      <c r="AD24" s="537">
        <f t="shared" si="8"/>
        <v>0</v>
      </c>
      <c r="AE24" s="537">
        <f t="shared" si="8"/>
        <v>0</v>
      </c>
      <c r="AF24" s="537">
        <f t="shared" si="8"/>
        <v>0</v>
      </c>
      <c r="AG24" s="595">
        <f t="shared" si="8"/>
        <v>0</v>
      </c>
      <c r="AH24" s="555">
        <f t="shared" si="8"/>
        <v>0</v>
      </c>
      <c r="AI24" s="556">
        <f>SUM(AI20:AI23)</f>
        <v>175564</v>
      </c>
      <c r="AJ24" s="495"/>
      <c r="AK24" s="500">
        <f>SUM(AK20:AK23)</f>
        <v>9489</v>
      </c>
      <c r="AL24" s="533">
        <f>IF(B21=0,0,AK24/B24)</f>
        <v>5.7136835766972753E-2</v>
      </c>
      <c r="AM24" s="544"/>
      <c r="AN24" s="546">
        <f>SUM(AN20:AN23)</f>
        <v>0</v>
      </c>
      <c r="AO24" s="579">
        <f t="shared" si="2"/>
        <v>0</v>
      </c>
      <c r="AP24" s="207"/>
      <c r="AQ24" s="616"/>
      <c r="AR24" s="632"/>
      <c r="AS24" s="207"/>
      <c r="BA24" s="123">
        <f>SUM(BA20:BA23)</f>
        <v>0</v>
      </c>
      <c r="BE24" s="96">
        <f>SUM(BE20:BE23)</f>
        <v>18409328</v>
      </c>
    </row>
    <row r="25" spans="1:57" ht="16.5" x14ac:dyDescent="0.3">
      <c r="A25" s="263" t="s">
        <v>10</v>
      </c>
      <c r="B25" s="664">
        <v>48157</v>
      </c>
      <c r="C25" s="376">
        <v>0</v>
      </c>
      <c r="D25" s="665">
        <v>0</v>
      </c>
      <c r="E25" s="207">
        <f>16+5</f>
        <v>21</v>
      </c>
      <c r="F25" s="58">
        <v>244</v>
      </c>
      <c r="G25" s="207">
        <v>65</v>
      </c>
      <c r="H25" s="58">
        <v>1470</v>
      </c>
      <c r="I25" s="217">
        <v>785</v>
      </c>
      <c r="J25" s="74">
        <f>SUM(E25:I25)</f>
        <v>2585</v>
      </c>
      <c r="K25" s="207">
        <v>0</v>
      </c>
      <c r="L25" s="293">
        <v>0</v>
      </c>
      <c r="M25" s="217">
        <v>0</v>
      </c>
      <c r="N25" s="237">
        <f>SUM(K25:M25)</f>
        <v>0</v>
      </c>
      <c r="O25" s="433">
        <f>+J25+N25</f>
        <v>2585</v>
      </c>
      <c r="P25" s="286">
        <v>0</v>
      </c>
      <c r="Q25" s="58">
        <v>0</v>
      </c>
      <c r="R25" s="293">
        <v>0</v>
      </c>
      <c r="S25" s="58">
        <v>0</v>
      </c>
      <c r="T25" s="293">
        <v>0</v>
      </c>
      <c r="U25" s="58">
        <v>0</v>
      </c>
      <c r="V25" s="425">
        <f>SUM(P25:U25)</f>
        <v>0</v>
      </c>
      <c r="W25" s="416">
        <f>+B25+O25+V25</f>
        <v>50742</v>
      </c>
      <c r="X25" s="525"/>
      <c r="Y25" s="390">
        <f>W25-B25</f>
        <v>2585</v>
      </c>
      <c r="Z25" s="516">
        <f t="shared" si="0"/>
        <v>5.3678592935606451E-2</v>
      </c>
      <c r="AA25" s="572"/>
      <c r="AB25" s="615"/>
      <c r="AC25" s="592">
        <v>0</v>
      </c>
      <c r="AD25" s="511">
        <v>0</v>
      </c>
      <c r="AE25" s="511">
        <v>0</v>
      </c>
      <c r="AF25" s="648">
        <v>0</v>
      </c>
      <c r="AG25" s="593">
        <v>0</v>
      </c>
      <c r="AH25" s="553">
        <f>SUM(AC25:AG25)</f>
        <v>0</v>
      </c>
      <c r="AI25" s="554">
        <f>SUM(W25+AH25)</f>
        <v>50742</v>
      </c>
      <c r="AJ25" s="495"/>
      <c r="AK25" s="501">
        <f>SUM(AI25-B25)</f>
        <v>2585</v>
      </c>
      <c r="AL25" s="532">
        <f>IF(B25=0,0,AK25/B25)</f>
        <v>5.3678592935606451E-2</v>
      </c>
      <c r="AM25" s="544"/>
      <c r="AN25" s="124">
        <f>AI25-W25</f>
        <v>0</v>
      </c>
      <c r="AO25" s="127">
        <f t="shared" si="2"/>
        <v>0</v>
      </c>
      <c r="AP25" s="207"/>
      <c r="AQ25" s="616"/>
      <c r="AR25" s="632"/>
      <c r="AS25" s="207"/>
      <c r="BA25" s="207"/>
      <c r="BE25" s="95">
        <v>0</v>
      </c>
    </row>
    <row r="26" spans="1:57" ht="16.5" x14ac:dyDescent="0.3">
      <c r="A26" s="263" t="s">
        <v>11</v>
      </c>
      <c r="B26" s="664">
        <v>49345</v>
      </c>
      <c r="C26" s="376">
        <v>0</v>
      </c>
      <c r="D26" s="665">
        <v>0</v>
      </c>
      <c r="E26" s="207">
        <f>14+4</f>
        <v>18</v>
      </c>
      <c r="F26" s="58">
        <v>0</v>
      </c>
      <c r="G26" s="207">
        <v>985</v>
      </c>
      <c r="H26" s="58">
        <v>0</v>
      </c>
      <c r="I26" s="217">
        <v>0</v>
      </c>
      <c r="J26" s="74">
        <f>SUM(E26:I26)</f>
        <v>1003</v>
      </c>
      <c r="K26" s="207">
        <v>0</v>
      </c>
      <c r="L26" s="293">
        <v>0</v>
      </c>
      <c r="M26" s="217">
        <v>0</v>
      </c>
      <c r="N26" s="237">
        <f>SUM(K26:M26)</f>
        <v>0</v>
      </c>
      <c r="O26" s="433">
        <f>+J26+N26</f>
        <v>1003</v>
      </c>
      <c r="P26" s="286">
        <v>0</v>
      </c>
      <c r="Q26" s="58">
        <v>0</v>
      </c>
      <c r="R26" s="293">
        <v>0</v>
      </c>
      <c r="S26" s="58">
        <v>0</v>
      </c>
      <c r="T26" s="293">
        <v>0</v>
      </c>
      <c r="U26" s="58">
        <v>0</v>
      </c>
      <c r="V26" s="425">
        <f>SUM(P26:U26)</f>
        <v>0</v>
      </c>
      <c r="W26" s="416">
        <f>+B26+O26+V26</f>
        <v>50348</v>
      </c>
      <c r="X26" s="525"/>
      <c r="Y26" s="390">
        <f>W26-B26</f>
        <v>1003</v>
      </c>
      <c r="Z26" s="516">
        <f t="shared" si="0"/>
        <v>2.0326274191914073E-2</v>
      </c>
      <c r="AA26" s="572"/>
      <c r="AB26" s="615"/>
      <c r="AC26" s="592">
        <v>0</v>
      </c>
      <c r="AD26" s="511">
        <v>0</v>
      </c>
      <c r="AE26" s="511">
        <v>0</v>
      </c>
      <c r="AF26" s="648">
        <v>0</v>
      </c>
      <c r="AG26" s="593">
        <v>0</v>
      </c>
      <c r="AH26" s="553">
        <f>SUM(AC26:AG26)</f>
        <v>0</v>
      </c>
      <c r="AI26" s="554">
        <f>SUM(W26+AH26)</f>
        <v>50348</v>
      </c>
      <c r="AJ26" s="495"/>
      <c r="AK26" s="501">
        <f>SUM(AI26-B26)</f>
        <v>1003</v>
      </c>
      <c r="AL26" s="532">
        <f>IF(B26=0,0,AK26/B26)</f>
        <v>2.0326274191914073E-2</v>
      </c>
      <c r="AM26" s="544"/>
      <c r="AN26" s="124">
        <f>AI26-W26</f>
        <v>0</v>
      </c>
      <c r="AO26" s="127">
        <f t="shared" si="2"/>
        <v>0</v>
      </c>
      <c r="AP26" s="207"/>
      <c r="AQ26" s="616"/>
      <c r="AR26" s="632"/>
      <c r="AS26" s="207"/>
      <c r="BA26" s="207">
        <f>+AZ26-AY26</f>
        <v>0</v>
      </c>
      <c r="BE26" s="95">
        <v>0</v>
      </c>
    </row>
    <row r="27" spans="1:57" ht="16.5" x14ac:dyDescent="0.3">
      <c r="A27" s="263" t="s">
        <v>12</v>
      </c>
      <c r="B27" s="664">
        <v>2488</v>
      </c>
      <c r="C27" s="376">
        <v>0</v>
      </c>
      <c r="D27" s="665">
        <v>0</v>
      </c>
      <c r="E27" s="207">
        <v>0</v>
      </c>
      <c r="F27" s="58">
        <v>0</v>
      </c>
      <c r="G27" s="207">
        <v>46</v>
      </c>
      <c r="H27" s="58">
        <v>0</v>
      </c>
      <c r="I27" s="217">
        <v>0</v>
      </c>
      <c r="J27" s="74">
        <f>SUM(E27:I27)</f>
        <v>46</v>
      </c>
      <c r="K27" s="207">
        <v>0</v>
      </c>
      <c r="L27" s="293">
        <v>0</v>
      </c>
      <c r="M27" s="217">
        <v>0</v>
      </c>
      <c r="N27" s="237">
        <f>SUM(K27:M27)</f>
        <v>0</v>
      </c>
      <c r="O27" s="433">
        <f>+J27+N27</f>
        <v>46</v>
      </c>
      <c r="P27" s="286">
        <v>0</v>
      </c>
      <c r="Q27" s="58">
        <v>0</v>
      </c>
      <c r="R27" s="293">
        <v>0</v>
      </c>
      <c r="S27" s="58">
        <v>0</v>
      </c>
      <c r="T27" s="293">
        <v>0</v>
      </c>
      <c r="U27" s="58">
        <v>0</v>
      </c>
      <c r="V27" s="425">
        <f>SUM(P27:U27)</f>
        <v>0</v>
      </c>
      <c r="W27" s="416">
        <f>+B27+O27+V27</f>
        <v>2534</v>
      </c>
      <c r="X27" s="525"/>
      <c r="Y27" s="390">
        <f>W27-B27</f>
        <v>46</v>
      </c>
      <c r="Z27" s="516">
        <f t="shared" si="0"/>
        <v>1.8488745980707395E-2</v>
      </c>
      <c r="AA27" s="572"/>
      <c r="AB27" s="615"/>
      <c r="AC27" s="592">
        <v>0</v>
      </c>
      <c r="AD27" s="511">
        <v>0</v>
      </c>
      <c r="AE27" s="511">
        <v>0</v>
      </c>
      <c r="AF27" s="648">
        <v>0</v>
      </c>
      <c r="AG27" s="593">
        <v>0</v>
      </c>
      <c r="AH27" s="553">
        <f>SUM(AC27:AG27)</f>
        <v>0</v>
      </c>
      <c r="AI27" s="554">
        <f>SUM(W27+AH27)</f>
        <v>2534</v>
      </c>
      <c r="AJ27" s="495"/>
      <c r="AK27" s="501">
        <f>SUM(AI27-B27)</f>
        <v>46</v>
      </c>
      <c r="AL27" s="532">
        <f>IF(B27=0,0,AK27/B27)</f>
        <v>1.8488745980707395E-2</v>
      </c>
      <c r="AM27" s="544"/>
      <c r="AN27" s="124">
        <f>AI27-W27</f>
        <v>0</v>
      </c>
      <c r="AO27" s="127">
        <f t="shared" si="2"/>
        <v>0</v>
      </c>
      <c r="AP27" s="207"/>
      <c r="AQ27" s="616"/>
      <c r="AR27" s="632"/>
      <c r="AS27" s="207"/>
      <c r="BA27" s="207">
        <f>+AZ27-AY27</f>
        <v>0</v>
      </c>
      <c r="BE27" s="95">
        <v>0</v>
      </c>
    </row>
    <row r="28" spans="1:57" ht="16.5" x14ac:dyDescent="0.3">
      <c r="A28" s="263" t="s">
        <v>13</v>
      </c>
      <c r="B28" s="664">
        <v>69620</v>
      </c>
      <c r="C28" s="376">
        <v>0</v>
      </c>
      <c r="D28" s="665">
        <v>0</v>
      </c>
      <c r="E28" s="207">
        <f>345+121</f>
        <v>466</v>
      </c>
      <c r="F28" s="58">
        <v>175</v>
      </c>
      <c r="G28" s="207">
        <v>641</v>
      </c>
      <c r="H28" s="58">
        <v>0</v>
      </c>
      <c r="I28" s="217">
        <v>0</v>
      </c>
      <c r="J28" s="74">
        <f>SUM(E28:I28)</f>
        <v>1282</v>
      </c>
      <c r="K28" s="207">
        <v>0</v>
      </c>
      <c r="L28" s="293">
        <v>0</v>
      </c>
      <c r="M28" s="217">
        <v>0</v>
      </c>
      <c r="N28" s="237">
        <f>SUM(K28:M28)</f>
        <v>0</v>
      </c>
      <c r="O28" s="433">
        <f>+J28+N28</f>
        <v>1282</v>
      </c>
      <c r="P28" s="286">
        <v>0</v>
      </c>
      <c r="Q28" s="58">
        <v>0</v>
      </c>
      <c r="R28" s="293">
        <v>0</v>
      </c>
      <c r="S28" s="58">
        <v>0</v>
      </c>
      <c r="T28" s="293">
        <v>0</v>
      </c>
      <c r="U28" s="58">
        <v>0</v>
      </c>
      <c r="V28" s="425">
        <f>SUM(P28:U28)</f>
        <v>0</v>
      </c>
      <c r="W28" s="416">
        <f>+B28+O28+V28</f>
        <v>70902</v>
      </c>
      <c r="X28" s="525"/>
      <c r="Y28" s="390">
        <f>W28-B28</f>
        <v>1282</v>
      </c>
      <c r="Z28" s="516">
        <f t="shared" si="0"/>
        <v>1.841424877908647E-2</v>
      </c>
      <c r="AA28" s="572"/>
      <c r="AB28" s="615"/>
      <c r="AC28" s="592">
        <v>0</v>
      </c>
      <c r="AD28" s="511">
        <v>0</v>
      </c>
      <c r="AE28" s="511">
        <v>0</v>
      </c>
      <c r="AF28" s="648">
        <v>0</v>
      </c>
      <c r="AG28" s="593">
        <v>0</v>
      </c>
      <c r="AH28" s="553">
        <f>SUM(AC28:AG28)</f>
        <v>0</v>
      </c>
      <c r="AI28" s="554">
        <f>SUM(W28+AH28)</f>
        <v>70902</v>
      </c>
      <c r="AJ28" s="495"/>
      <c r="AK28" s="501">
        <f>SUM(AI28-B28)</f>
        <v>1282</v>
      </c>
      <c r="AL28" s="532">
        <f>IF(B28=0,0,AK28/B28)</f>
        <v>1.841424877908647E-2</v>
      </c>
      <c r="AM28" s="544"/>
      <c r="AN28" s="124">
        <f>AI28-W28</f>
        <v>0</v>
      </c>
      <c r="AO28" s="127">
        <f t="shared" si="2"/>
        <v>0</v>
      </c>
      <c r="AP28" s="207"/>
      <c r="AQ28" s="616"/>
      <c r="AR28" s="632"/>
      <c r="AS28" s="207"/>
      <c r="BA28" s="207"/>
      <c r="BE28" s="95">
        <v>4672306</v>
      </c>
    </row>
    <row r="29" spans="1:57" ht="16.5" x14ac:dyDescent="0.3">
      <c r="A29" s="263" t="s">
        <v>30</v>
      </c>
      <c r="B29" s="664">
        <v>5837</v>
      </c>
      <c r="C29" s="376">
        <v>0</v>
      </c>
      <c r="D29" s="665">
        <v>0</v>
      </c>
      <c r="E29" s="207">
        <f>15+5</f>
        <v>20</v>
      </c>
      <c r="F29" s="58">
        <v>0</v>
      </c>
      <c r="G29" s="207">
        <v>82</v>
      </c>
      <c r="H29" s="58">
        <v>0</v>
      </c>
      <c r="I29" s="217">
        <v>0</v>
      </c>
      <c r="J29" s="74">
        <f>SUM(E29:I29)</f>
        <v>102</v>
      </c>
      <c r="K29" s="207">
        <v>0</v>
      </c>
      <c r="L29" s="293">
        <v>0</v>
      </c>
      <c r="M29" s="217">
        <v>0</v>
      </c>
      <c r="N29" s="237">
        <f>SUM(K29:M29)</f>
        <v>0</v>
      </c>
      <c r="O29" s="433">
        <f>+J29+N29</f>
        <v>102</v>
      </c>
      <c r="P29" s="286">
        <v>0</v>
      </c>
      <c r="Q29" s="58">
        <v>0</v>
      </c>
      <c r="R29" s="293">
        <v>0</v>
      </c>
      <c r="S29" s="58">
        <v>0</v>
      </c>
      <c r="T29" s="293">
        <v>0</v>
      </c>
      <c r="U29" s="58">
        <v>0</v>
      </c>
      <c r="V29" s="425">
        <f>SUM(P29:U29)</f>
        <v>0</v>
      </c>
      <c r="W29" s="416">
        <f>+B29+O29+V29</f>
        <v>5939</v>
      </c>
      <c r="X29" s="525"/>
      <c r="Y29" s="390">
        <f>W29-B29</f>
        <v>102</v>
      </c>
      <c r="Z29" s="516">
        <f t="shared" si="0"/>
        <v>1.7474730169607676E-2</v>
      </c>
      <c r="AA29" s="572"/>
      <c r="AB29" s="615"/>
      <c r="AC29" s="592">
        <v>0</v>
      </c>
      <c r="AD29" s="511">
        <v>0</v>
      </c>
      <c r="AE29" s="511">
        <v>0</v>
      </c>
      <c r="AF29" s="648">
        <v>0</v>
      </c>
      <c r="AG29" s="593">
        <v>0</v>
      </c>
      <c r="AH29" s="553">
        <f>SUM(AC29:AG29)</f>
        <v>0</v>
      </c>
      <c r="AI29" s="554">
        <f>SUM(W29+AH29)</f>
        <v>5939</v>
      </c>
      <c r="AJ29" s="495"/>
      <c r="AK29" s="501">
        <f>SUM(AI29-B29)</f>
        <v>102</v>
      </c>
      <c r="AL29" s="532">
        <f>IF(B29=0,0,AK29/B29)</f>
        <v>1.7474730169607676E-2</v>
      </c>
      <c r="AM29" s="544"/>
      <c r="AN29" s="124">
        <f>AI29-W29</f>
        <v>0</v>
      </c>
      <c r="AO29" s="127">
        <f t="shared" si="2"/>
        <v>0</v>
      </c>
      <c r="AP29" s="207"/>
      <c r="AQ29" s="616"/>
      <c r="AR29" s="632"/>
      <c r="AS29" s="207"/>
      <c r="BA29" s="207">
        <f>+AZ29-AY29</f>
        <v>0</v>
      </c>
      <c r="BE29" s="95">
        <v>0</v>
      </c>
    </row>
    <row r="30" spans="1:57" ht="16.5" x14ac:dyDescent="0.3">
      <c r="A30" s="18" t="s">
        <v>22</v>
      </c>
      <c r="B30" s="654">
        <f>SUM(B25:B29)</f>
        <v>175447</v>
      </c>
      <c r="C30" s="375">
        <f t="shared" ref="C30:W30" si="9">SUM(C25:C29)</f>
        <v>0</v>
      </c>
      <c r="D30" s="469">
        <f t="shared" si="9"/>
        <v>0</v>
      </c>
      <c r="E30" s="337">
        <f t="shared" si="9"/>
        <v>525</v>
      </c>
      <c r="F30" s="338">
        <f t="shared" si="9"/>
        <v>419</v>
      </c>
      <c r="G30" s="337">
        <f t="shared" si="9"/>
        <v>1819</v>
      </c>
      <c r="H30" s="338">
        <f t="shared" si="9"/>
        <v>1470</v>
      </c>
      <c r="I30" s="339">
        <f t="shared" si="9"/>
        <v>785</v>
      </c>
      <c r="J30" s="40">
        <f t="shared" si="9"/>
        <v>5018</v>
      </c>
      <c r="K30" s="103">
        <f t="shared" si="9"/>
        <v>0</v>
      </c>
      <c r="L30" s="295">
        <f t="shared" si="9"/>
        <v>0</v>
      </c>
      <c r="M30" s="115">
        <f t="shared" si="9"/>
        <v>0</v>
      </c>
      <c r="N30" s="97">
        <f t="shared" si="9"/>
        <v>0</v>
      </c>
      <c r="O30" s="435">
        <f t="shared" si="9"/>
        <v>5018</v>
      </c>
      <c r="P30" s="288">
        <f t="shared" si="9"/>
        <v>0</v>
      </c>
      <c r="Q30" s="139">
        <f t="shared" si="9"/>
        <v>0</v>
      </c>
      <c r="R30" s="295">
        <f t="shared" si="9"/>
        <v>0</v>
      </c>
      <c r="S30" s="139">
        <f t="shared" si="9"/>
        <v>0</v>
      </c>
      <c r="T30" s="295">
        <f t="shared" si="9"/>
        <v>0</v>
      </c>
      <c r="U30" s="139">
        <f t="shared" si="9"/>
        <v>0</v>
      </c>
      <c r="V30" s="423">
        <f t="shared" si="9"/>
        <v>0</v>
      </c>
      <c r="W30" s="417">
        <f t="shared" si="9"/>
        <v>180465</v>
      </c>
      <c r="X30" s="525"/>
      <c r="Y30" s="391">
        <f>SUM(Y25:Y29)</f>
        <v>5018</v>
      </c>
      <c r="Z30" s="528">
        <f t="shared" si="0"/>
        <v>2.8601230001082948E-2</v>
      </c>
      <c r="AA30" s="572"/>
      <c r="AB30" s="615"/>
      <c r="AC30" s="596">
        <f t="shared" ref="AC30:AI30" si="10">SUM(AC25:AC29)</f>
        <v>0</v>
      </c>
      <c r="AD30" s="538">
        <f t="shared" si="10"/>
        <v>0</v>
      </c>
      <c r="AE30" s="538">
        <f t="shared" si="10"/>
        <v>0</v>
      </c>
      <c r="AF30" s="538">
        <f t="shared" si="10"/>
        <v>0</v>
      </c>
      <c r="AG30" s="597">
        <f t="shared" si="10"/>
        <v>0</v>
      </c>
      <c r="AH30" s="557">
        <f t="shared" si="10"/>
        <v>0</v>
      </c>
      <c r="AI30" s="558">
        <f t="shared" si="10"/>
        <v>180465</v>
      </c>
      <c r="AJ30" s="495"/>
      <c r="AK30" s="502">
        <f>SUM(AK25:AK29)</f>
        <v>5018</v>
      </c>
      <c r="AL30" s="534">
        <f>IF(B21=0,0,AK30/B30)</f>
        <v>2.8601230001082948E-2</v>
      </c>
      <c r="AM30" s="544"/>
      <c r="AN30" s="547">
        <f>SUM(AN25:AN29)</f>
        <v>0</v>
      </c>
      <c r="AO30" s="580">
        <f>IF(W30=0,0,AN30/W30)</f>
        <v>0</v>
      </c>
      <c r="AP30" s="207"/>
      <c r="AQ30" s="616"/>
      <c r="AR30" s="632"/>
      <c r="AS30" s="207"/>
      <c r="BA30" s="238">
        <f>SUM(BA25:BA29)</f>
        <v>0</v>
      </c>
      <c r="BE30" s="97">
        <f>SUM(BE25:BE29)</f>
        <v>4672306</v>
      </c>
    </row>
    <row r="31" spans="1:57" ht="16.5" x14ac:dyDescent="0.3">
      <c r="A31" s="19" t="s">
        <v>20</v>
      </c>
      <c r="B31" s="655">
        <f>SUM(B30+B24+B19)</f>
        <v>3815109</v>
      </c>
      <c r="C31" s="370">
        <f t="shared" ref="C31:K31" si="11">+C19+C24+C30</f>
        <v>0</v>
      </c>
      <c r="D31" s="470">
        <f t="shared" si="11"/>
        <v>0</v>
      </c>
      <c r="E31" s="340">
        <f t="shared" si="11"/>
        <v>8820</v>
      </c>
      <c r="F31" s="341">
        <f t="shared" si="11"/>
        <v>14723</v>
      </c>
      <c r="G31" s="342">
        <f t="shared" si="11"/>
        <v>4380</v>
      </c>
      <c r="H31" s="341">
        <f t="shared" si="11"/>
        <v>73522</v>
      </c>
      <c r="I31" s="343">
        <f t="shared" si="11"/>
        <v>65168</v>
      </c>
      <c r="J31" s="76">
        <f t="shared" si="11"/>
        <v>166613</v>
      </c>
      <c r="K31" s="80">
        <f t="shared" si="11"/>
        <v>75000</v>
      </c>
      <c r="L31" s="296">
        <f>+L19+L24+L30</f>
        <v>0</v>
      </c>
      <c r="M31" s="260">
        <f t="shared" ref="M31:W31" si="12">+M19+M24+M30</f>
        <v>0</v>
      </c>
      <c r="N31" s="98">
        <f t="shared" si="12"/>
        <v>75000</v>
      </c>
      <c r="O31" s="436">
        <f t="shared" si="12"/>
        <v>241613</v>
      </c>
      <c r="P31" s="289">
        <f t="shared" si="12"/>
        <v>0</v>
      </c>
      <c r="Q31" s="269">
        <f t="shared" si="12"/>
        <v>0</v>
      </c>
      <c r="R31" s="296">
        <f t="shared" si="12"/>
        <v>0</v>
      </c>
      <c r="S31" s="269">
        <f t="shared" si="12"/>
        <v>0</v>
      </c>
      <c r="T31" s="296">
        <f t="shared" si="12"/>
        <v>0</v>
      </c>
      <c r="U31" s="269">
        <f t="shared" si="12"/>
        <v>0</v>
      </c>
      <c r="V31" s="424">
        <f t="shared" si="12"/>
        <v>0</v>
      </c>
      <c r="W31" s="418">
        <f t="shared" si="12"/>
        <v>4056722</v>
      </c>
      <c r="X31" s="525"/>
      <c r="Y31" s="38">
        <f>+Y19+Y24+Y30</f>
        <v>241613</v>
      </c>
      <c r="Z31" s="518">
        <f t="shared" si="0"/>
        <v>6.3330562770290449E-2</v>
      </c>
      <c r="AA31" s="572"/>
      <c r="AB31" s="615"/>
      <c r="AC31" s="598">
        <f>SUM(AC30+AC24+AC19)</f>
        <v>0</v>
      </c>
      <c r="AD31" s="539">
        <f>SUM(AD30+AD24+AD19)</f>
        <v>0</v>
      </c>
      <c r="AE31" s="539">
        <f>SUM(AE30+AE24+AE19)</f>
        <v>0</v>
      </c>
      <c r="AF31" s="539">
        <f>SUM(AF30+AF24+AF19)</f>
        <v>0</v>
      </c>
      <c r="AG31" s="599">
        <f>SUM(AG30+AG24+AG19)</f>
        <v>0</v>
      </c>
      <c r="AH31" s="559">
        <f>SUM(AH30+AH24+AH20)</f>
        <v>0</v>
      </c>
      <c r="AI31" s="560">
        <f>SUM(AI30+AI24+AI19)</f>
        <v>4056722</v>
      </c>
      <c r="AJ31" s="495"/>
      <c r="AK31" s="503">
        <f>SUM(AK30+AK24+AK19)</f>
        <v>241613</v>
      </c>
      <c r="AL31" s="535">
        <f>IF(B21=0,0,AK31/B31)</f>
        <v>6.3330562770290449E-2</v>
      </c>
      <c r="AM31" s="544"/>
      <c r="AN31" s="548">
        <f>SUM(AN30+AN24+AN19)</f>
        <v>0</v>
      </c>
      <c r="AO31" s="581">
        <f t="shared" si="2"/>
        <v>0</v>
      </c>
      <c r="AP31" s="207"/>
      <c r="AQ31" s="616"/>
      <c r="AR31" s="632"/>
      <c r="AS31" s="207"/>
      <c r="BA31" s="260">
        <f>+BA19+BA24+BA30</f>
        <v>0</v>
      </c>
      <c r="BE31" s="98">
        <f>+BE19+BE24+BE30</f>
        <v>495081961</v>
      </c>
    </row>
    <row r="32" spans="1:57" ht="16.5" x14ac:dyDescent="0.3">
      <c r="A32" s="16"/>
      <c r="B32" s="656"/>
      <c r="C32" s="376"/>
      <c r="D32" s="471"/>
      <c r="E32" s="351"/>
      <c r="F32" s="352"/>
      <c r="G32" s="174"/>
      <c r="H32" s="303"/>
      <c r="I32" s="176"/>
      <c r="J32" s="74"/>
      <c r="K32" s="207"/>
      <c r="L32" s="293"/>
      <c r="M32" s="217"/>
      <c r="N32" s="95"/>
      <c r="O32" s="433"/>
      <c r="P32" s="286"/>
      <c r="Q32" s="58"/>
      <c r="R32" s="293"/>
      <c r="S32" s="58"/>
      <c r="T32" s="293"/>
      <c r="U32" s="58"/>
      <c r="V32" s="425"/>
      <c r="W32" s="416"/>
      <c r="X32" s="525"/>
      <c r="Y32" s="353"/>
      <c r="Z32" s="516"/>
      <c r="AA32" s="572"/>
      <c r="AB32" s="615"/>
      <c r="AC32" s="592"/>
      <c r="AD32" s="511"/>
      <c r="AE32" s="511"/>
      <c r="AF32" s="648"/>
      <c r="AG32" s="593"/>
      <c r="AH32" s="553"/>
      <c r="AI32" s="561"/>
      <c r="AJ32" s="495"/>
      <c r="AK32" s="501"/>
      <c r="AL32" s="532"/>
      <c r="AM32" s="544"/>
      <c r="AN32" s="124"/>
      <c r="AO32" s="127"/>
      <c r="AP32" s="207"/>
      <c r="AQ32" s="616"/>
      <c r="AR32" s="632"/>
      <c r="AS32" s="207"/>
      <c r="BA32" s="207"/>
      <c r="BE32" s="95"/>
    </row>
    <row r="33" spans="1:57" ht="16.5" x14ac:dyDescent="0.3">
      <c r="A33" s="447" t="s">
        <v>99</v>
      </c>
      <c r="B33" s="657"/>
      <c r="C33" s="377"/>
      <c r="D33" s="666"/>
      <c r="E33" s="444"/>
      <c r="F33" s="359"/>
      <c r="G33" s="355"/>
      <c r="H33" s="359"/>
      <c r="I33" s="670"/>
      <c r="J33" s="356"/>
      <c r="K33" s="360"/>
      <c r="L33" s="361"/>
      <c r="M33" s="362"/>
      <c r="N33" s="356"/>
      <c r="O33" s="437"/>
      <c r="P33" s="360"/>
      <c r="Q33" s="361"/>
      <c r="R33" s="361"/>
      <c r="S33" s="361"/>
      <c r="T33" s="361"/>
      <c r="U33" s="361"/>
      <c r="V33" s="442"/>
      <c r="W33" s="442"/>
      <c r="X33" s="525"/>
      <c r="Y33" s="448"/>
      <c r="Z33" s="519"/>
      <c r="AA33" s="573"/>
      <c r="AB33" s="617"/>
      <c r="AC33" s="592"/>
      <c r="AD33" s="511"/>
      <c r="AE33" s="511"/>
      <c r="AF33" s="648"/>
      <c r="AG33" s="593"/>
      <c r="AH33" s="553"/>
      <c r="AI33" s="561"/>
      <c r="AJ33" s="495"/>
      <c r="AK33" s="501"/>
      <c r="AL33" s="532"/>
      <c r="AM33" s="544"/>
      <c r="AN33" s="124"/>
      <c r="AO33" s="127"/>
      <c r="AP33" s="207"/>
      <c r="AQ33" s="616"/>
      <c r="AR33" s="632"/>
      <c r="AS33" s="207"/>
      <c r="BA33" s="207"/>
      <c r="BE33" s="95"/>
    </row>
    <row r="34" spans="1:57" ht="16.5" x14ac:dyDescent="0.3">
      <c r="A34" s="449" t="s">
        <v>107</v>
      </c>
      <c r="B34" s="656">
        <v>800000</v>
      </c>
      <c r="C34" s="376">
        <v>0</v>
      </c>
      <c r="D34" s="268">
        <v>0</v>
      </c>
      <c r="E34" s="444">
        <v>0</v>
      </c>
      <c r="F34" s="404">
        <v>0</v>
      </c>
      <c r="G34" s="403">
        <v>0</v>
      </c>
      <c r="H34" s="404">
        <v>0</v>
      </c>
      <c r="I34" s="405">
        <v>0</v>
      </c>
      <c r="J34" s="74">
        <f>SUM(E34:I34)</f>
        <v>0</v>
      </c>
      <c r="K34" s="286">
        <f>F34+I34+J34</f>
        <v>0</v>
      </c>
      <c r="L34" s="293">
        <v>100000</v>
      </c>
      <c r="M34" s="280">
        <v>0</v>
      </c>
      <c r="N34" s="237">
        <f>SUM(K34:M34)</f>
        <v>100000</v>
      </c>
      <c r="O34" s="425">
        <f>+J34+N34</f>
        <v>100000</v>
      </c>
      <c r="P34" s="406">
        <v>0</v>
      </c>
      <c r="Q34" s="319">
        <v>0</v>
      </c>
      <c r="R34" s="319">
        <v>0</v>
      </c>
      <c r="S34" s="319">
        <v>0</v>
      </c>
      <c r="T34" s="319">
        <v>0</v>
      </c>
      <c r="U34" s="319">
        <v>0</v>
      </c>
      <c r="V34" s="425">
        <f>SUM(P34:U34)</f>
        <v>0</v>
      </c>
      <c r="W34" s="416">
        <f>+B34+O34+V34</f>
        <v>900000</v>
      </c>
      <c r="X34" s="525"/>
      <c r="Y34" s="390">
        <f>W34-B34</f>
        <v>100000</v>
      </c>
      <c r="Z34" s="516">
        <f>IF(B34=0,0,Y34/B34)</f>
        <v>0.125</v>
      </c>
      <c r="AA34" s="572"/>
      <c r="AB34" s="615"/>
      <c r="AC34" s="592">
        <v>0</v>
      </c>
      <c r="AD34" s="511">
        <v>0</v>
      </c>
      <c r="AE34" s="511">
        <v>0</v>
      </c>
      <c r="AF34" s="648">
        <v>0</v>
      </c>
      <c r="AG34" s="593">
        <v>0</v>
      </c>
      <c r="AH34" s="553">
        <f>SUM(AC34:AG34)</f>
        <v>0</v>
      </c>
      <c r="AI34" s="554">
        <f>SUM(W34+AH34)</f>
        <v>900000</v>
      </c>
      <c r="AJ34" s="495"/>
      <c r="AK34" s="501">
        <f>SUM(AI34-B34)</f>
        <v>100000</v>
      </c>
      <c r="AL34" s="532">
        <f>IF(B34=0,0,AK34/B34)</f>
        <v>0.125</v>
      </c>
      <c r="AM34" s="544"/>
      <c r="AN34" s="124">
        <f>AI34-W34</f>
        <v>0</v>
      </c>
      <c r="AO34" s="127">
        <f>IF(W34=0,0,AN34/W34)</f>
        <v>0</v>
      </c>
      <c r="AP34" s="207"/>
      <c r="AQ34" s="616"/>
      <c r="AR34" s="632"/>
      <c r="AS34" s="207"/>
      <c r="BA34" s="207"/>
      <c r="BE34" s="95"/>
    </row>
    <row r="35" spans="1:57" ht="16.5" x14ac:dyDescent="0.3">
      <c r="A35" s="453" t="s">
        <v>108</v>
      </c>
      <c r="B35" s="656">
        <v>0</v>
      </c>
      <c r="C35" s="376">
        <v>0</v>
      </c>
      <c r="D35" s="268">
        <v>0</v>
      </c>
      <c r="E35" s="444">
        <v>0</v>
      </c>
      <c r="F35" s="404">
        <v>0</v>
      </c>
      <c r="G35" s="403">
        <v>0</v>
      </c>
      <c r="H35" s="404">
        <v>0</v>
      </c>
      <c r="I35" s="405">
        <v>0</v>
      </c>
      <c r="J35" s="445">
        <f>SUM(E35:I35)</f>
        <v>0</v>
      </c>
      <c r="K35" s="207">
        <v>0</v>
      </c>
      <c r="L35" s="293">
        <v>0</v>
      </c>
      <c r="M35" s="217">
        <v>0</v>
      </c>
      <c r="N35" s="446">
        <f>SUM(K35:M35)</f>
        <v>0</v>
      </c>
      <c r="O35" s="426">
        <f>+J35+N35</f>
        <v>0</v>
      </c>
      <c r="P35" s="406">
        <v>0</v>
      </c>
      <c r="Q35" s="42">
        <v>0</v>
      </c>
      <c r="R35" s="319">
        <v>0</v>
      </c>
      <c r="S35" s="42">
        <v>0</v>
      </c>
      <c r="T35" s="42">
        <v>0</v>
      </c>
      <c r="U35" s="42">
        <v>0</v>
      </c>
      <c r="V35" s="426">
        <f>SUM(P35:U35)</f>
        <v>0</v>
      </c>
      <c r="W35" s="416">
        <f>+B35+O35+V35</f>
        <v>0</v>
      </c>
      <c r="X35" s="525"/>
      <c r="Y35" s="390">
        <f>W35-B35</f>
        <v>0</v>
      </c>
      <c r="Z35" s="516">
        <f>IF(B35=0,0,Y35/B35)</f>
        <v>0</v>
      </c>
      <c r="AA35" s="572"/>
      <c r="AB35" s="615"/>
      <c r="AC35" s="592">
        <v>0</v>
      </c>
      <c r="AD35" s="511">
        <v>0</v>
      </c>
      <c r="AE35" s="511">
        <v>0</v>
      </c>
      <c r="AF35" s="648">
        <v>0</v>
      </c>
      <c r="AG35" s="593">
        <v>0</v>
      </c>
      <c r="AH35" s="553">
        <f>SUM(AC35:AG35)</f>
        <v>0</v>
      </c>
      <c r="AI35" s="554">
        <f>SUM(W35+AH35)</f>
        <v>0</v>
      </c>
      <c r="AJ35" s="495"/>
      <c r="AK35" s="504">
        <f>SUM(AI35-B35)</f>
        <v>0</v>
      </c>
      <c r="AL35" s="532">
        <f>IF(B35=0,0,AK35/B35)</f>
        <v>0</v>
      </c>
      <c r="AM35" s="544"/>
      <c r="AN35" s="124">
        <f>AI35-W35</f>
        <v>0</v>
      </c>
      <c r="AO35" s="127">
        <f>IF(W35=0,0,AN35/W35)</f>
        <v>0</v>
      </c>
      <c r="AP35" s="207"/>
      <c r="AQ35" s="616"/>
      <c r="AR35" s="632"/>
      <c r="AS35" s="207"/>
      <c r="BA35" s="207"/>
      <c r="BE35" s="95"/>
    </row>
    <row r="36" spans="1:57" ht="16.5" x14ac:dyDescent="0.3">
      <c r="A36" s="443" t="s">
        <v>109</v>
      </c>
      <c r="B36" s="655">
        <f>SUM(B34:B35)</f>
        <v>800000</v>
      </c>
      <c r="C36" s="370">
        <f t="shared" ref="C36:W36" si="13">SUM(C34:C35)</f>
        <v>0</v>
      </c>
      <c r="D36" s="667">
        <f t="shared" si="13"/>
        <v>0</v>
      </c>
      <c r="E36" s="365">
        <f t="shared" si="13"/>
        <v>0</v>
      </c>
      <c r="F36" s="366">
        <f t="shared" si="13"/>
        <v>0</v>
      </c>
      <c r="G36" s="408">
        <f t="shared" si="13"/>
        <v>0</v>
      </c>
      <c r="H36" s="366">
        <f t="shared" si="13"/>
        <v>0</v>
      </c>
      <c r="I36" s="409">
        <f t="shared" si="13"/>
        <v>0</v>
      </c>
      <c r="J36" s="76">
        <f t="shared" si="13"/>
        <v>0</v>
      </c>
      <c r="K36" s="80">
        <f t="shared" si="13"/>
        <v>0</v>
      </c>
      <c r="L36" s="296">
        <f t="shared" si="13"/>
        <v>100000</v>
      </c>
      <c r="M36" s="260">
        <f t="shared" si="13"/>
        <v>0</v>
      </c>
      <c r="N36" s="396">
        <f t="shared" si="13"/>
        <v>100000</v>
      </c>
      <c r="O36" s="438">
        <f t="shared" si="13"/>
        <v>100000</v>
      </c>
      <c r="P36" s="367">
        <f t="shared" si="13"/>
        <v>0</v>
      </c>
      <c r="Q36" s="44">
        <f t="shared" si="13"/>
        <v>0</v>
      </c>
      <c r="R36" s="368">
        <f t="shared" si="13"/>
        <v>0</v>
      </c>
      <c r="S36" s="44">
        <f t="shared" si="13"/>
        <v>0</v>
      </c>
      <c r="T36" s="44">
        <f t="shared" si="13"/>
        <v>0</v>
      </c>
      <c r="U36" s="44">
        <f t="shared" si="13"/>
        <v>0</v>
      </c>
      <c r="V36" s="424">
        <f t="shared" si="13"/>
        <v>0</v>
      </c>
      <c r="W36" s="418">
        <f t="shared" si="13"/>
        <v>900000</v>
      </c>
      <c r="X36" s="526"/>
      <c r="Y36" s="392">
        <f>SUM(Y34:Y35)</f>
        <v>100000</v>
      </c>
      <c r="Z36" s="518">
        <f>IF(B36=0,0,Y36/B36)</f>
        <v>0.125</v>
      </c>
      <c r="AA36" s="572"/>
      <c r="AB36" s="615"/>
      <c r="AC36" s="598">
        <f t="shared" ref="AC36:AI36" si="14">SUM(AC34:AC35)</f>
        <v>0</v>
      </c>
      <c r="AD36" s="539">
        <f t="shared" si="14"/>
        <v>0</v>
      </c>
      <c r="AE36" s="539">
        <f t="shared" si="14"/>
        <v>0</v>
      </c>
      <c r="AF36" s="539">
        <f t="shared" si="14"/>
        <v>0</v>
      </c>
      <c r="AG36" s="599">
        <f t="shared" si="14"/>
        <v>0</v>
      </c>
      <c r="AH36" s="559">
        <f t="shared" si="14"/>
        <v>0</v>
      </c>
      <c r="AI36" s="560">
        <f t="shared" si="14"/>
        <v>900000</v>
      </c>
      <c r="AJ36" s="496"/>
      <c r="AK36" s="503">
        <f>SUM(AK34:AK35)</f>
        <v>100000</v>
      </c>
      <c r="AL36" s="535">
        <f>IF(B36=0,0,AK36/B36)</f>
        <v>0.125</v>
      </c>
      <c r="AM36" s="544"/>
      <c r="AN36" s="548">
        <f>SUM(AN34:AN35)</f>
        <v>0</v>
      </c>
      <c r="AO36" s="128">
        <f>IF(W36=0,0,AN36/W36)</f>
        <v>0</v>
      </c>
      <c r="AP36" s="207"/>
      <c r="AQ36" s="616"/>
      <c r="AR36" s="632"/>
      <c r="AS36" s="207"/>
      <c r="BA36" s="207"/>
      <c r="BE36" s="95"/>
    </row>
    <row r="37" spans="1:57" ht="16.5" x14ac:dyDescent="0.3">
      <c r="A37" s="16"/>
      <c r="B37" s="656"/>
      <c r="C37" s="376"/>
      <c r="D37" s="471"/>
      <c r="E37" s="407"/>
      <c r="F37" s="303"/>
      <c r="G37" s="174"/>
      <c r="H37" s="303"/>
      <c r="I37" s="176"/>
      <c r="J37" s="74"/>
      <c r="K37" s="207"/>
      <c r="L37" s="293"/>
      <c r="M37" s="217"/>
      <c r="N37" s="95"/>
      <c r="O37" s="433"/>
      <c r="P37" s="286"/>
      <c r="Q37" s="58"/>
      <c r="R37" s="293"/>
      <c r="S37" s="58"/>
      <c r="T37" s="293"/>
      <c r="U37" s="58"/>
      <c r="V37" s="425"/>
      <c r="W37" s="416"/>
      <c r="X37" s="525"/>
      <c r="Y37" s="353"/>
      <c r="Z37" s="516"/>
      <c r="AA37" s="572"/>
      <c r="AB37" s="615"/>
      <c r="AC37" s="592"/>
      <c r="AD37" s="511"/>
      <c r="AE37" s="511"/>
      <c r="AF37" s="648"/>
      <c r="AG37" s="593"/>
      <c r="AH37" s="553"/>
      <c r="AI37" s="561"/>
      <c r="AJ37" s="495"/>
      <c r="AK37" s="501"/>
      <c r="AL37" s="532"/>
      <c r="AM37" s="544"/>
      <c r="AN37" s="124"/>
      <c r="AO37" s="127"/>
      <c r="AP37" s="207"/>
      <c r="AQ37" s="616"/>
      <c r="AR37" s="632"/>
      <c r="AS37" s="207"/>
      <c r="BA37" s="207"/>
      <c r="BE37" s="95"/>
    </row>
    <row r="38" spans="1:57" ht="16.5" x14ac:dyDescent="0.3">
      <c r="A38" s="20" t="s">
        <v>18</v>
      </c>
      <c r="B38" s="656"/>
      <c r="C38" s="376"/>
      <c r="D38" s="471"/>
      <c r="E38" s="122"/>
      <c r="F38" s="364"/>
      <c r="G38" s="174"/>
      <c r="H38" s="303"/>
      <c r="I38" s="176"/>
      <c r="J38" s="74"/>
      <c r="K38" s="207"/>
      <c r="L38" s="293"/>
      <c r="M38" s="217"/>
      <c r="N38" s="95"/>
      <c r="O38" s="433"/>
      <c r="P38" s="286"/>
      <c r="Q38" s="58"/>
      <c r="R38" s="293"/>
      <c r="S38" s="58"/>
      <c r="T38" s="293"/>
      <c r="U38" s="58"/>
      <c r="V38" s="425"/>
      <c r="W38" s="419"/>
      <c r="X38" s="525"/>
      <c r="Y38" s="393"/>
      <c r="Z38" s="516"/>
      <c r="AA38" s="572"/>
      <c r="AB38" s="615"/>
      <c r="AC38" s="592"/>
      <c r="AD38" s="511"/>
      <c r="AE38" s="511"/>
      <c r="AF38" s="648"/>
      <c r="AG38" s="593"/>
      <c r="AH38" s="553"/>
      <c r="AI38" s="561"/>
      <c r="AJ38" s="495"/>
      <c r="AK38" s="501"/>
      <c r="AL38" s="532"/>
      <c r="AM38" s="544"/>
      <c r="AN38" s="124"/>
      <c r="AO38" s="127"/>
      <c r="AP38" s="207"/>
      <c r="AQ38" s="616"/>
      <c r="AR38" s="632"/>
      <c r="AS38" s="207"/>
      <c r="BA38" s="207"/>
      <c r="BE38" s="95"/>
    </row>
    <row r="39" spans="1:57" ht="16.5" x14ac:dyDescent="0.3">
      <c r="A39" s="16" t="s">
        <v>15</v>
      </c>
      <c r="B39" s="656">
        <v>76981</v>
      </c>
      <c r="C39" s="376">
        <v>0</v>
      </c>
      <c r="D39" s="471">
        <v>0</v>
      </c>
      <c r="E39" s="2">
        <v>0</v>
      </c>
      <c r="F39" s="58">
        <v>0</v>
      </c>
      <c r="G39" s="207">
        <v>1872</v>
      </c>
      <c r="H39" s="58">
        <v>0</v>
      </c>
      <c r="I39" s="217">
        <v>1604</v>
      </c>
      <c r="J39" s="74">
        <f>SUM(E39:I39)</f>
        <v>3476</v>
      </c>
      <c r="K39" s="207">
        <v>0</v>
      </c>
      <c r="L39" s="293">
        <v>0</v>
      </c>
      <c r="M39" s="217">
        <v>0</v>
      </c>
      <c r="N39" s="237">
        <f>SUM(K39:M39)</f>
        <v>0</v>
      </c>
      <c r="O39" s="433">
        <f>+J39+N39</f>
        <v>3476</v>
      </c>
      <c r="P39" s="286">
        <v>0</v>
      </c>
      <c r="Q39" s="58">
        <v>0</v>
      </c>
      <c r="R39" s="293">
        <v>0</v>
      </c>
      <c r="S39" s="58">
        <v>0</v>
      </c>
      <c r="T39" s="293">
        <v>0</v>
      </c>
      <c r="U39" s="58">
        <v>0</v>
      </c>
      <c r="V39" s="425">
        <f>SUM(P39:U39)</f>
        <v>0</v>
      </c>
      <c r="W39" s="416">
        <f>+B39+O39+V39</f>
        <v>80457</v>
      </c>
      <c r="X39" s="525"/>
      <c r="Y39" s="390">
        <f>W39-B39</f>
        <v>3476</v>
      </c>
      <c r="Z39" s="516">
        <f>IF(B39=0,0,Y39/B39)</f>
        <v>4.5153999038723844E-2</v>
      </c>
      <c r="AA39" s="572"/>
      <c r="AB39" s="615"/>
      <c r="AC39" s="592">
        <v>0</v>
      </c>
      <c r="AD39" s="511">
        <v>0</v>
      </c>
      <c r="AE39" s="511">
        <v>0</v>
      </c>
      <c r="AF39" s="648">
        <v>0</v>
      </c>
      <c r="AG39" s="593">
        <v>0</v>
      </c>
      <c r="AH39" s="553">
        <f>SUM(AC39:AG39)</f>
        <v>0</v>
      </c>
      <c r="AI39" s="554">
        <f>SUM(W39+AH39)</f>
        <v>80457</v>
      </c>
      <c r="AJ39" s="495"/>
      <c r="AK39" s="501">
        <f>SUM(AI39-B39)</f>
        <v>3476</v>
      </c>
      <c r="AL39" s="532">
        <f>IF(B35=0,0,AK39/B39)</f>
        <v>0</v>
      </c>
      <c r="AM39" s="544"/>
      <c r="AN39" s="124">
        <f>SUM(AI39-W39)</f>
        <v>0</v>
      </c>
      <c r="AO39" s="127">
        <f>IF(W39=0,0,AN39/W39)</f>
        <v>0</v>
      </c>
      <c r="AP39" s="207"/>
      <c r="AQ39" s="616"/>
      <c r="AR39" s="632"/>
      <c r="AS39" s="207"/>
      <c r="BA39" s="207"/>
      <c r="BE39" s="95">
        <v>0</v>
      </c>
    </row>
    <row r="40" spans="1:57" ht="16.5" x14ac:dyDescent="0.3">
      <c r="A40" s="16" t="s">
        <v>31</v>
      </c>
      <c r="B40" s="656">
        <v>103036</v>
      </c>
      <c r="C40" s="376">
        <v>0</v>
      </c>
      <c r="D40" s="471">
        <v>0</v>
      </c>
      <c r="E40" s="2">
        <v>0</v>
      </c>
      <c r="F40" s="58">
        <v>0</v>
      </c>
      <c r="G40" s="207">
        <v>2349</v>
      </c>
      <c r="H40" s="58">
        <v>0</v>
      </c>
      <c r="I40" s="217">
        <v>2072</v>
      </c>
      <c r="J40" s="74">
        <f>SUM(E40:I40)</f>
        <v>4421</v>
      </c>
      <c r="K40" s="207">
        <v>0</v>
      </c>
      <c r="L40" s="293">
        <v>0</v>
      </c>
      <c r="M40" s="217">
        <v>0</v>
      </c>
      <c r="N40" s="237">
        <f>SUM(K40:M40)</f>
        <v>0</v>
      </c>
      <c r="O40" s="433">
        <f>+J40+N40</f>
        <v>4421</v>
      </c>
      <c r="P40" s="286">
        <v>0</v>
      </c>
      <c r="Q40" s="58">
        <v>0</v>
      </c>
      <c r="R40" s="293">
        <v>0</v>
      </c>
      <c r="S40" s="58">
        <v>0</v>
      </c>
      <c r="T40" s="293">
        <v>0</v>
      </c>
      <c r="U40" s="58">
        <v>0</v>
      </c>
      <c r="V40" s="425">
        <f>SUM(P40:U40)</f>
        <v>0</v>
      </c>
      <c r="W40" s="416">
        <f>+B40+O40+V40</f>
        <v>107457</v>
      </c>
      <c r="X40" s="525"/>
      <c r="Y40" s="390">
        <f>W40-B40</f>
        <v>4421</v>
      </c>
      <c r="Z40" s="516">
        <f t="shared" ref="Z40:Z45" si="15">IF(B40=0,0,Y40/B40)</f>
        <v>4.2907333359214254E-2</v>
      </c>
      <c r="AA40" s="572"/>
      <c r="AB40" s="615"/>
      <c r="AC40" s="592">
        <v>0</v>
      </c>
      <c r="AD40" s="511">
        <v>0</v>
      </c>
      <c r="AE40" s="511">
        <v>0</v>
      </c>
      <c r="AF40" s="648">
        <v>0</v>
      </c>
      <c r="AG40" s="593">
        <v>0</v>
      </c>
      <c r="AH40" s="553">
        <f>SUM(AC40:AG40)</f>
        <v>0</v>
      </c>
      <c r="AI40" s="554">
        <f>SUM(W40+AH40)</f>
        <v>107457</v>
      </c>
      <c r="AJ40" s="495"/>
      <c r="AK40" s="501">
        <f>SUM(AI40-B40)</f>
        <v>4421</v>
      </c>
      <c r="AL40" s="532">
        <f>IF(B36=0,0,AK40/B40)</f>
        <v>4.2907333359214254E-2</v>
      </c>
      <c r="AM40" s="544"/>
      <c r="AN40" s="124">
        <f>SUM(AI40-W40)</f>
        <v>0</v>
      </c>
      <c r="AO40" s="127">
        <f t="shared" ref="AO40:AO45" si="16">IF(W40=0,0,AN40/W40)</f>
        <v>0</v>
      </c>
      <c r="AP40" s="207"/>
      <c r="AQ40" s="616"/>
      <c r="AR40" s="632"/>
      <c r="AS40" s="207"/>
      <c r="BA40" s="207"/>
      <c r="BE40" s="95">
        <v>0</v>
      </c>
    </row>
    <row r="41" spans="1:57" ht="16.5" x14ac:dyDescent="0.3">
      <c r="A41" s="16" t="s">
        <v>32</v>
      </c>
      <c r="B41" s="656">
        <v>132377</v>
      </c>
      <c r="C41" s="376">
        <v>0</v>
      </c>
      <c r="D41" s="471">
        <v>0</v>
      </c>
      <c r="E41" s="2">
        <v>0</v>
      </c>
      <c r="F41" s="58">
        <v>0</v>
      </c>
      <c r="G41" s="207">
        <v>3886</v>
      </c>
      <c r="H41" s="58">
        <v>0</v>
      </c>
      <c r="I41" s="217">
        <v>0</v>
      </c>
      <c r="J41" s="74">
        <f>SUM(E41:I41)</f>
        <v>3886</v>
      </c>
      <c r="K41" s="207">
        <v>0</v>
      </c>
      <c r="L41" s="293">
        <v>0</v>
      </c>
      <c r="M41" s="217">
        <v>100000</v>
      </c>
      <c r="N41" s="95">
        <f>SUM(K41:M41)</f>
        <v>100000</v>
      </c>
      <c r="O41" s="433">
        <f>+J41+N41</f>
        <v>103886</v>
      </c>
      <c r="P41" s="286">
        <v>0</v>
      </c>
      <c r="Q41" s="58">
        <v>0</v>
      </c>
      <c r="R41" s="293">
        <v>0</v>
      </c>
      <c r="S41" s="58">
        <v>0</v>
      </c>
      <c r="T41" s="293">
        <v>0</v>
      </c>
      <c r="U41" s="58">
        <v>0</v>
      </c>
      <c r="V41" s="425">
        <f>SUM(P41:U41)</f>
        <v>0</v>
      </c>
      <c r="W41" s="416">
        <f>+B41+O41+V41</f>
        <v>236263</v>
      </c>
      <c r="X41" s="525"/>
      <c r="Y41" s="390">
        <f>W41-B41</f>
        <v>103886</v>
      </c>
      <c r="Z41" s="516">
        <f t="shared" si="15"/>
        <v>0.7847737900088384</v>
      </c>
      <c r="AA41" s="572"/>
      <c r="AB41" s="615"/>
      <c r="AC41" s="592">
        <v>0</v>
      </c>
      <c r="AD41" s="511">
        <v>0</v>
      </c>
      <c r="AE41" s="511">
        <v>0</v>
      </c>
      <c r="AF41" s="648">
        <v>0</v>
      </c>
      <c r="AG41" s="593">
        <v>0</v>
      </c>
      <c r="AH41" s="553">
        <f>SUM(AC41:AG41)</f>
        <v>0</v>
      </c>
      <c r="AI41" s="554">
        <f>SUM(W41+AH41)</f>
        <v>236263</v>
      </c>
      <c r="AJ41" s="495"/>
      <c r="AK41" s="505">
        <f>SUM(AI41-B41)</f>
        <v>103886</v>
      </c>
      <c r="AL41" s="532">
        <f>IF(B41=0,0,AK41/B41)</f>
        <v>0.7847737900088384</v>
      </c>
      <c r="AM41" s="544"/>
      <c r="AN41" s="124">
        <f>SUM(AI41-W41)</f>
        <v>0</v>
      </c>
      <c r="AO41" s="127">
        <f t="shared" si="16"/>
        <v>0</v>
      </c>
      <c r="AP41" s="207"/>
      <c r="AQ41" s="616"/>
      <c r="AR41" s="632"/>
      <c r="AS41" s="207"/>
      <c r="BA41" s="207"/>
      <c r="BE41" s="95">
        <v>0</v>
      </c>
    </row>
    <row r="42" spans="1:57" ht="16.5" x14ac:dyDescent="0.3">
      <c r="A42" s="16" t="s">
        <v>33</v>
      </c>
      <c r="B42" s="656">
        <v>233858</v>
      </c>
      <c r="C42" s="376">
        <v>0</v>
      </c>
      <c r="D42" s="471">
        <v>0</v>
      </c>
      <c r="E42" s="2">
        <f>975+338</f>
        <v>1313</v>
      </c>
      <c r="F42" s="58">
        <v>1127</v>
      </c>
      <c r="G42" s="207">
        <v>1910</v>
      </c>
      <c r="H42" s="58">
        <v>1012</v>
      </c>
      <c r="I42" s="217">
        <v>4084</v>
      </c>
      <c r="J42" s="74">
        <f>SUM(E42:I42)</f>
        <v>9446</v>
      </c>
      <c r="K42" s="268">
        <v>0</v>
      </c>
      <c r="L42" s="320">
        <v>0</v>
      </c>
      <c r="M42" s="217">
        <v>0</v>
      </c>
      <c r="N42" s="237">
        <f>SUM(K42:M42)</f>
        <v>0</v>
      </c>
      <c r="O42" s="433">
        <f>+J42+N42</f>
        <v>9446</v>
      </c>
      <c r="P42" s="286">
        <v>0</v>
      </c>
      <c r="Q42" s="58">
        <v>0</v>
      </c>
      <c r="R42" s="293">
        <v>0</v>
      </c>
      <c r="S42" s="58">
        <v>0</v>
      </c>
      <c r="T42" s="293">
        <v>0</v>
      </c>
      <c r="U42" s="58">
        <v>0</v>
      </c>
      <c r="V42" s="425">
        <f>SUM(P42:U42)</f>
        <v>0</v>
      </c>
      <c r="W42" s="416">
        <f>+B42+O42+V42</f>
        <v>243304</v>
      </c>
      <c r="X42" s="525"/>
      <c r="Y42" s="390">
        <f>W42-B42</f>
        <v>9446</v>
      </c>
      <c r="Z42" s="516">
        <f t="shared" si="15"/>
        <v>4.039203277202405E-2</v>
      </c>
      <c r="AA42" s="572"/>
      <c r="AB42" s="615"/>
      <c r="AC42" s="592">
        <v>0</v>
      </c>
      <c r="AD42" s="511">
        <v>0</v>
      </c>
      <c r="AE42" s="511">
        <v>0</v>
      </c>
      <c r="AF42" s="648">
        <v>0</v>
      </c>
      <c r="AG42" s="593">
        <v>0</v>
      </c>
      <c r="AH42" s="553">
        <f>SUM(AC42:AG42)</f>
        <v>0</v>
      </c>
      <c r="AI42" s="554">
        <f>SUM(W42+AH42)</f>
        <v>243304</v>
      </c>
      <c r="AJ42" s="495"/>
      <c r="AK42" s="501">
        <f>SUM(AI42-B42)</f>
        <v>9446</v>
      </c>
      <c r="AL42" s="532">
        <f>IF(B42=0,0,AK42/B42)</f>
        <v>4.039203277202405E-2</v>
      </c>
      <c r="AM42" s="544"/>
      <c r="AN42" s="124">
        <f>SUM(AI42-W42)</f>
        <v>0</v>
      </c>
      <c r="AO42" s="127">
        <f t="shared" si="16"/>
        <v>0</v>
      </c>
      <c r="AP42" s="207"/>
      <c r="AQ42" s="616"/>
      <c r="AR42" s="632"/>
      <c r="AS42" s="207"/>
      <c r="BA42" s="207"/>
      <c r="BE42" s="95">
        <v>0</v>
      </c>
    </row>
    <row r="43" spans="1:57" ht="16.5" x14ac:dyDescent="0.3">
      <c r="A43" s="16" t="s">
        <v>16</v>
      </c>
      <c r="B43" s="656">
        <v>23654</v>
      </c>
      <c r="C43" s="376">
        <v>0</v>
      </c>
      <c r="D43" s="471">
        <v>0</v>
      </c>
      <c r="E43" s="2">
        <v>0</v>
      </c>
      <c r="F43" s="58">
        <v>0</v>
      </c>
      <c r="G43" s="207">
        <v>33</v>
      </c>
      <c r="H43" s="383">
        <v>825</v>
      </c>
      <c r="I43" s="217">
        <v>424</v>
      </c>
      <c r="J43" s="74">
        <f>SUM(E43:I43)</f>
        <v>1282</v>
      </c>
      <c r="K43" s="207">
        <v>0</v>
      </c>
      <c r="L43" s="293">
        <v>0</v>
      </c>
      <c r="M43" s="217">
        <v>0</v>
      </c>
      <c r="N43" s="237">
        <f>SUM(K43:M43)</f>
        <v>0</v>
      </c>
      <c r="O43" s="433">
        <f>+J43+N43</f>
        <v>1282</v>
      </c>
      <c r="P43" s="286">
        <v>0</v>
      </c>
      <c r="Q43" s="58">
        <v>0</v>
      </c>
      <c r="R43" s="293">
        <v>0</v>
      </c>
      <c r="S43" s="58">
        <v>0</v>
      </c>
      <c r="T43" s="293">
        <v>0</v>
      </c>
      <c r="U43" s="58">
        <v>0</v>
      </c>
      <c r="V43" s="425">
        <f>SUM(P43:U43)</f>
        <v>0</v>
      </c>
      <c r="W43" s="416">
        <f>+B43+O43+V43</f>
        <v>24936</v>
      </c>
      <c r="X43" s="525"/>
      <c r="Y43" s="390">
        <f>W43-B43</f>
        <v>1282</v>
      </c>
      <c r="Z43" s="516">
        <f t="shared" si="15"/>
        <v>5.4198021476283081E-2</v>
      </c>
      <c r="AA43" s="572"/>
      <c r="AB43" s="615"/>
      <c r="AC43" s="592">
        <v>0</v>
      </c>
      <c r="AD43" s="511">
        <v>0</v>
      </c>
      <c r="AE43" s="511">
        <v>0</v>
      </c>
      <c r="AF43" s="648">
        <v>0</v>
      </c>
      <c r="AG43" s="593">
        <v>0</v>
      </c>
      <c r="AH43" s="553">
        <f>SUM(AC43:AG43)</f>
        <v>0</v>
      </c>
      <c r="AI43" s="554">
        <f>SUM(W43+AH43)</f>
        <v>24936</v>
      </c>
      <c r="AJ43" s="495"/>
      <c r="AK43" s="501">
        <f>SUM(AI43-B43)</f>
        <v>1282</v>
      </c>
      <c r="AL43" s="532">
        <f>IF(B43=0,0,AK43/B43)</f>
        <v>5.4198021476283081E-2</v>
      </c>
      <c r="AM43" s="544"/>
      <c r="AN43" s="124">
        <f>SUM(AI43-W43)</f>
        <v>0</v>
      </c>
      <c r="AO43" s="127">
        <f t="shared" si="16"/>
        <v>0</v>
      </c>
      <c r="AP43" s="207"/>
      <c r="AQ43" s="616"/>
      <c r="AR43" s="632"/>
      <c r="AS43" s="207"/>
      <c r="BA43" s="207"/>
      <c r="BE43" s="95">
        <v>0</v>
      </c>
    </row>
    <row r="44" spans="1:57" ht="15.75" customHeight="1" x14ac:dyDescent="0.3">
      <c r="A44" s="19" t="s">
        <v>19</v>
      </c>
      <c r="B44" s="655">
        <f t="shared" ref="B44:W44" si="17">SUM(B39:B43)</f>
        <v>569906</v>
      </c>
      <c r="C44" s="370">
        <f t="shared" si="17"/>
        <v>0</v>
      </c>
      <c r="D44" s="476">
        <f t="shared" si="17"/>
        <v>0</v>
      </c>
      <c r="E44" s="340">
        <f t="shared" si="17"/>
        <v>1313</v>
      </c>
      <c r="F44" s="341">
        <f t="shared" si="17"/>
        <v>1127</v>
      </c>
      <c r="G44" s="342">
        <f t="shared" si="17"/>
        <v>10050</v>
      </c>
      <c r="H44" s="345">
        <f t="shared" si="17"/>
        <v>1837</v>
      </c>
      <c r="I44" s="343">
        <f t="shared" si="17"/>
        <v>8184</v>
      </c>
      <c r="J44" s="76">
        <f t="shared" si="17"/>
        <v>22511</v>
      </c>
      <c r="K44" s="80">
        <f t="shared" si="17"/>
        <v>0</v>
      </c>
      <c r="L44" s="296">
        <f>SUM(L39:L43)</f>
        <v>0</v>
      </c>
      <c r="M44" s="260">
        <f t="shared" si="17"/>
        <v>100000</v>
      </c>
      <c r="N44" s="98">
        <f t="shared" si="17"/>
        <v>100000</v>
      </c>
      <c r="O44" s="436">
        <f t="shared" si="17"/>
        <v>122511</v>
      </c>
      <c r="P44" s="289">
        <f t="shared" si="17"/>
        <v>0</v>
      </c>
      <c r="Q44" s="269">
        <f t="shared" si="17"/>
        <v>0</v>
      </c>
      <c r="R44" s="296">
        <f t="shared" si="17"/>
        <v>0</v>
      </c>
      <c r="S44" s="269">
        <f t="shared" si="17"/>
        <v>0</v>
      </c>
      <c r="T44" s="296">
        <f t="shared" si="17"/>
        <v>0</v>
      </c>
      <c r="U44" s="269">
        <f t="shared" si="17"/>
        <v>0</v>
      </c>
      <c r="V44" s="424">
        <f t="shared" si="17"/>
        <v>0</v>
      </c>
      <c r="W44" s="418">
        <f t="shared" si="17"/>
        <v>692417</v>
      </c>
      <c r="X44" s="525"/>
      <c r="Y44" s="394">
        <f>SUM(Y39:Y43)</f>
        <v>122511</v>
      </c>
      <c r="Z44" s="518">
        <f t="shared" si="15"/>
        <v>0.21496702965050377</v>
      </c>
      <c r="AA44" s="572"/>
      <c r="AB44" s="615"/>
      <c r="AC44" s="598">
        <f t="shared" ref="AC44:AH44" si="18">SUM(AC38:AC43)</f>
        <v>0</v>
      </c>
      <c r="AD44" s="539">
        <f t="shared" si="18"/>
        <v>0</v>
      </c>
      <c r="AE44" s="539">
        <f t="shared" si="18"/>
        <v>0</v>
      </c>
      <c r="AF44" s="539">
        <f t="shared" si="18"/>
        <v>0</v>
      </c>
      <c r="AG44" s="599">
        <f t="shared" si="18"/>
        <v>0</v>
      </c>
      <c r="AH44" s="559">
        <f t="shared" si="18"/>
        <v>0</v>
      </c>
      <c r="AI44" s="560">
        <f>SUM(AI39:AI43)</f>
        <v>692417</v>
      </c>
      <c r="AJ44" s="495"/>
      <c r="AK44" s="503">
        <f>SUM(AK39:AK43)</f>
        <v>122511</v>
      </c>
      <c r="AL44" s="535">
        <f>IF(B44=0,0,AK44/B44)</f>
        <v>0.21496702965050377</v>
      </c>
      <c r="AM44" s="544"/>
      <c r="AN44" s="548">
        <f>SUM(AN39:AN43)</f>
        <v>0</v>
      </c>
      <c r="AO44" s="128">
        <f t="shared" si="16"/>
        <v>0</v>
      </c>
      <c r="AP44" s="207"/>
      <c r="AQ44" s="616"/>
      <c r="AR44" s="632"/>
      <c r="AS44" s="207"/>
      <c r="BA44" s="261">
        <f>SUM(BA39:BA43)</f>
        <v>0</v>
      </c>
      <c r="BE44" s="99">
        <f>SUM(BE39:BE43)</f>
        <v>0</v>
      </c>
    </row>
    <row r="45" spans="1:57" ht="24" customHeight="1" thickBot="1" x14ac:dyDescent="0.35">
      <c r="A45" s="21" t="s">
        <v>23</v>
      </c>
      <c r="B45" s="658">
        <f>SUM(B44+B36+B31)</f>
        <v>5185015</v>
      </c>
      <c r="C45" s="309">
        <f>+C31+C36+C44</f>
        <v>0</v>
      </c>
      <c r="D45" s="477">
        <f>+D31+D36+D44</f>
        <v>0</v>
      </c>
      <c r="E45" s="82">
        <f>++E31+E355+E44</f>
        <v>10133</v>
      </c>
      <c r="F45" s="271">
        <f>+F31+F36+F44</f>
        <v>15850</v>
      </c>
      <c r="G45" s="200">
        <f>G31+G36+G44</f>
        <v>14430</v>
      </c>
      <c r="H45" s="84">
        <f>+H31+H36+H44</f>
        <v>75359</v>
      </c>
      <c r="I45" s="202">
        <f>+I31+I36+I44</f>
        <v>73352</v>
      </c>
      <c r="J45" s="77">
        <f>+J31+J36+J44</f>
        <v>189124</v>
      </c>
      <c r="K45" s="276">
        <f>+K31+K36+K44</f>
        <v>75000</v>
      </c>
      <c r="L45" s="297">
        <f>+L31+L36+L44</f>
        <v>100000</v>
      </c>
      <c r="M45" s="262">
        <f>+M31++M36+M44</f>
        <v>100000</v>
      </c>
      <c r="N45" s="100">
        <f t="shared" ref="N45:W45" si="19">+N31+N36+N44</f>
        <v>275000</v>
      </c>
      <c r="O45" s="439">
        <f t="shared" si="19"/>
        <v>464124</v>
      </c>
      <c r="P45" s="290">
        <f t="shared" si="19"/>
        <v>0</v>
      </c>
      <c r="Q45" s="298">
        <f t="shared" si="19"/>
        <v>0</v>
      </c>
      <c r="R45" s="298">
        <f t="shared" si="19"/>
        <v>0</v>
      </c>
      <c r="S45" s="298">
        <f t="shared" si="19"/>
        <v>0</v>
      </c>
      <c r="T45" s="298">
        <f t="shared" si="19"/>
        <v>0</v>
      </c>
      <c r="U45" s="298">
        <f t="shared" si="19"/>
        <v>0</v>
      </c>
      <c r="V45" s="427">
        <f t="shared" si="19"/>
        <v>0</v>
      </c>
      <c r="W45" s="420">
        <f t="shared" si="19"/>
        <v>5649139</v>
      </c>
      <c r="X45" s="525"/>
      <c r="Y45" s="369">
        <f>+Y31+Y36+Y44</f>
        <v>464124</v>
      </c>
      <c r="Z45" s="520">
        <f t="shared" si="15"/>
        <v>8.9512566501736252E-2</v>
      </c>
      <c r="AA45" s="574"/>
      <c r="AB45" s="618"/>
      <c r="AC45" s="600">
        <f t="shared" ref="AC45:AI45" si="20">SUM(AC44+AC36+AC31)</f>
        <v>0</v>
      </c>
      <c r="AD45" s="540">
        <f t="shared" si="20"/>
        <v>0</v>
      </c>
      <c r="AE45" s="540">
        <f t="shared" si="20"/>
        <v>0</v>
      </c>
      <c r="AF45" s="540">
        <f t="shared" si="20"/>
        <v>0</v>
      </c>
      <c r="AG45" s="601">
        <f t="shared" si="20"/>
        <v>0</v>
      </c>
      <c r="AH45" s="562">
        <f t="shared" si="20"/>
        <v>0</v>
      </c>
      <c r="AI45" s="563">
        <f t="shared" si="20"/>
        <v>5649139</v>
      </c>
      <c r="AJ45" s="497"/>
      <c r="AK45" s="506">
        <f>SUM(AK44+AK36+AK31)</f>
        <v>464124</v>
      </c>
      <c r="AL45" s="536">
        <f>IF(B45=0,0,AK45/B45)</f>
        <v>8.9512566501736252E-2</v>
      </c>
      <c r="AM45" s="550"/>
      <c r="AN45" s="568">
        <f>SUM(AN44+AN36+AN31)</f>
        <v>0</v>
      </c>
      <c r="AO45" s="128">
        <f t="shared" si="16"/>
        <v>0</v>
      </c>
      <c r="AP45" s="242"/>
      <c r="AQ45" s="619"/>
      <c r="AR45" s="633"/>
      <c r="AS45" s="243"/>
      <c r="BA45" s="262">
        <f>+BA31+BA44</f>
        <v>0</v>
      </c>
      <c r="BE45" s="100">
        <f>+BE31+BE44</f>
        <v>495081961</v>
      </c>
    </row>
    <row r="46" spans="1:57" s="9" customFormat="1" ht="17.25" customHeight="1" thickTop="1" x14ac:dyDescent="0.3">
      <c r="A46" s="6" t="s">
        <v>50</v>
      </c>
      <c r="B46" s="6"/>
      <c r="C46" s="348"/>
      <c r="D46" s="310">
        <f>D45-B45</f>
        <v>-5185015</v>
      </c>
      <c r="E46" s="258"/>
      <c r="F46" s="258"/>
      <c r="G46" s="259"/>
      <c r="H46" s="6"/>
      <c r="I46" s="6"/>
      <c r="J46" s="46">
        <f>J45</f>
        <v>189124</v>
      </c>
      <c r="K46" s="6"/>
      <c r="L46" s="6"/>
      <c r="M46" s="6"/>
      <c r="N46" s="6"/>
      <c r="O46" s="46">
        <f>+J45+N45</f>
        <v>464124</v>
      </c>
      <c r="P46" s="6"/>
      <c r="Q46" s="6"/>
      <c r="R46" s="6"/>
      <c r="S46" s="6"/>
      <c r="T46" s="6"/>
      <c r="U46" s="6"/>
      <c r="V46" s="6"/>
      <c r="W46" s="46">
        <f>W45-B45</f>
        <v>464124</v>
      </c>
      <c r="X46" s="46"/>
      <c r="Y46" s="513"/>
      <c r="Z46" s="513"/>
      <c r="AA46" s="513"/>
      <c r="AB46" s="620"/>
      <c r="AC46" s="521"/>
      <c r="AD46" s="521"/>
      <c r="AE46" s="521"/>
      <c r="AF46" s="521"/>
      <c r="AG46" s="521"/>
      <c r="AH46" s="521"/>
      <c r="AI46" s="521">
        <f>AI45-B45</f>
        <v>464124</v>
      </c>
      <c r="AJ46" s="512"/>
      <c r="AK46" s="244"/>
      <c r="AL46" s="244"/>
      <c r="AM46" s="244"/>
      <c r="AN46" s="244"/>
      <c r="AO46" s="244"/>
      <c r="AP46" s="244"/>
      <c r="AQ46" s="522"/>
      <c r="AR46" s="634"/>
      <c r="AS46" s="244"/>
      <c r="AT46" s="244"/>
    </row>
    <row r="47" spans="1:57" s="9" customFormat="1" ht="17.25" customHeight="1" x14ac:dyDescent="0.3">
      <c r="A47" s="47" t="s">
        <v>51</v>
      </c>
      <c r="B47" s="47"/>
      <c r="C47" s="47"/>
      <c r="D47" s="48">
        <f>IF(B45=0,0,D46/B45)</f>
        <v>-1</v>
      </c>
      <c r="E47" s="304"/>
      <c r="F47" s="257"/>
      <c r="G47" s="257"/>
      <c r="H47" s="47"/>
      <c r="I47" s="47"/>
      <c r="J47" s="668">
        <f>IF(B45=0,0,J46/B45)</f>
        <v>3.6475111450979411E-2</v>
      </c>
      <c r="K47" s="47"/>
      <c r="L47" s="47"/>
      <c r="M47" s="47"/>
      <c r="N47" s="47"/>
      <c r="O47" s="456">
        <f>IF(B45=0,0,O46/B45)</f>
        <v>8.9512566501736252E-2</v>
      </c>
      <c r="P47" s="47"/>
      <c r="Q47" s="47"/>
      <c r="R47" s="47"/>
      <c r="S47" s="47"/>
      <c r="T47" s="47"/>
      <c r="U47" s="47"/>
      <c r="V47" s="47"/>
      <c r="W47" s="456">
        <f>IF(B45=0,0,W46/B45)</f>
        <v>8.9512566501736252E-2</v>
      </c>
      <c r="X47" s="384"/>
      <c r="Y47" s="513"/>
      <c r="Z47" s="513"/>
      <c r="AA47" s="513"/>
      <c r="AB47" s="620"/>
      <c r="AC47" s="639"/>
      <c r="AD47" s="639"/>
      <c r="AE47" s="639"/>
      <c r="AF47" s="639"/>
      <c r="AG47" s="639"/>
      <c r="AH47" s="639"/>
      <c r="AI47" s="640">
        <f>IF(B45=0,0,AI45/B45)</f>
        <v>1.0895125665017362</v>
      </c>
      <c r="AJ47" s="384"/>
      <c r="AK47" s="244"/>
      <c r="AL47" s="244"/>
      <c r="AM47" s="244"/>
      <c r="AN47" s="244"/>
      <c r="AO47" s="244"/>
      <c r="AP47" s="244"/>
      <c r="AQ47" s="522"/>
      <c r="AR47" s="634"/>
      <c r="AS47" s="244"/>
      <c r="AT47" s="244"/>
    </row>
    <row r="48" spans="1:57" s="9" customFormat="1" ht="10.5" customHeight="1" x14ac:dyDescent="0.3">
      <c r="A48" s="6"/>
      <c r="B48" s="6"/>
      <c r="C48" s="349"/>
      <c r="D48" s="6"/>
      <c r="E48" s="6"/>
      <c r="F48" s="6"/>
      <c r="G48" s="6"/>
      <c r="H48" s="6"/>
      <c r="I48" s="6"/>
      <c r="J48" s="46"/>
      <c r="K48" s="6"/>
      <c r="L48" s="6"/>
      <c r="M48" s="6"/>
      <c r="N48" s="6"/>
      <c r="O48" s="6"/>
      <c r="P48" s="66"/>
      <c r="Q48" s="277"/>
      <c r="R48" s="277"/>
      <c r="S48" s="277"/>
      <c r="T48" s="277"/>
      <c r="U48" s="277"/>
      <c r="V48" s="66"/>
      <c r="W48" s="6"/>
      <c r="X48" s="6"/>
      <c r="Y48" s="8"/>
      <c r="Z48" s="8"/>
      <c r="AA48" s="8"/>
      <c r="AB48" s="620"/>
      <c r="AC48" s="621"/>
      <c r="AD48" s="621"/>
      <c r="AE48" s="621"/>
      <c r="AF48" s="621"/>
      <c r="AG48" s="621"/>
      <c r="AH48" s="621"/>
      <c r="AI48" s="621"/>
      <c r="AJ48" s="621"/>
      <c r="AK48" s="244"/>
      <c r="AL48" s="244"/>
      <c r="AM48" s="244"/>
      <c r="AN48" s="244"/>
      <c r="AO48" s="244"/>
      <c r="AP48" s="244"/>
      <c r="AQ48" s="522"/>
      <c r="AR48" s="634"/>
      <c r="AS48" s="244"/>
      <c r="AT48" s="244"/>
    </row>
    <row r="49" spans="1:46" s="52" customFormat="1" ht="20.100000000000001" customHeight="1" thickBot="1" x14ac:dyDescent="0.35">
      <c r="A49" s="6" t="s">
        <v>135</v>
      </c>
      <c r="B49" s="50"/>
      <c r="C49" s="349"/>
      <c r="D49" s="2"/>
      <c r="E49" s="49"/>
      <c r="F49" s="49"/>
      <c r="G49" s="49"/>
      <c r="H49" s="49"/>
      <c r="I49" s="49"/>
      <c r="J49" s="256"/>
      <c r="K49" s="254"/>
      <c r="L49" s="254"/>
      <c r="M49" s="254"/>
      <c r="O49" s="254"/>
      <c r="P49" s="2"/>
      <c r="Q49" s="2"/>
      <c r="R49" s="2"/>
      <c r="S49" s="2"/>
      <c r="T49" s="2"/>
      <c r="U49" s="2"/>
      <c r="W49" s="59"/>
      <c r="X49" s="59"/>
      <c r="Y49" s="53"/>
      <c r="Z49" s="53"/>
      <c r="AA49" s="53"/>
      <c r="AB49" s="622"/>
      <c r="AC49" s="623"/>
      <c r="AD49" s="623"/>
      <c r="AE49" s="623"/>
      <c r="AF49" s="623"/>
      <c r="AG49" s="623"/>
      <c r="AH49" s="623"/>
      <c r="AI49" s="623"/>
      <c r="AJ49" s="623"/>
      <c r="AK49" s="624"/>
      <c r="AL49" s="624"/>
      <c r="AM49" s="624"/>
      <c r="AN49" s="624"/>
      <c r="AO49" s="624"/>
      <c r="AP49" s="624"/>
      <c r="AQ49" s="625"/>
      <c r="AR49" s="635"/>
      <c r="AS49" s="245"/>
      <c r="AT49" s="245"/>
    </row>
    <row r="50" spans="1:46" s="9" customFormat="1" ht="6" customHeight="1" thickTop="1" x14ac:dyDescent="0.3">
      <c r="A50" s="6"/>
      <c r="B50" s="6"/>
      <c r="C50" s="6"/>
      <c r="D50" s="6"/>
      <c r="E50" s="6"/>
      <c r="F50" s="6"/>
      <c r="G50" s="6"/>
      <c r="H50" s="6"/>
      <c r="I50" s="6"/>
      <c r="J50" s="6"/>
      <c r="K50" s="6"/>
      <c r="L50" s="6"/>
      <c r="M50" s="6"/>
      <c r="O50" s="6"/>
      <c r="P50" s="6"/>
      <c r="Q50" s="6"/>
      <c r="R50" s="6"/>
      <c r="S50" s="6"/>
      <c r="T50" s="6"/>
      <c r="U50" s="6"/>
      <c r="V50" s="6"/>
      <c r="W50" s="6"/>
      <c r="X50" s="6"/>
      <c r="Y50" s="8"/>
      <c r="Z50" s="8"/>
      <c r="AA50" s="8"/>
      <c r="AB50" s="8"/>
      <c r="AC50" s="6"/>
      <c r="AD50" s="6"/>
      <c r="AE50" s="6"/>
      <c r="AF50" s="6"/>
      <c r="AG50" s="6"/>
      <c r="AH50" s="6"/>
      <c r="AI50" s="6"/>
      <c r="AJ50" s="6"/>
      <c r="AK50" s="244"/>
      <c r="AL50" s="244"/>
      <c r="AM50" s="244"/>
      <c r="AN50" s="244"/>
      <c r="AO50" s="244"/>
      <c r="AP50" s="244"/>
      <c r="AQ50" s="244"/>
      <c r="AR50" s="244"/>
      <c r="AS50" s="244"/>
      <c r="AT50" s="244"/>
    </row>
    <row r="51" spans="1:46" s="9" customFormat="1" ht="22.5" customHeight="1" x14ac:dyDescent="0.3">
      <c r="A51" s="6" t="s">
        <v>132</v>
      </c>
      <c r="B51" s="6"/>
      <c r="C51" s="6"/>
      <c r="D51" s="6"/>
      <c r="E51" s="6"/>
      <c r="F51" s="6"/>
      <c r="G51" s="6"/>
      <c r="H51" s="6"/>
      <c r="I51" s="6"/>
      <c r="J51" s="6"/>
      <c r="K51" s="6"/>
      <c r="L51" s="6"/>
      <c r="M51" s="6"/>
      <c r="O51" s="6"/>
      <c r="P51" s="6"/>
      <c r="Q51" s="6"/>
      <c r="R51" s="6"/>
      <c r="S51" s="6"/>
      <c r="T51" s="6"/>
      <c r="U51" s="6"/>
      <c r="V51" s="6"/>
      <c r="W51" s="6"/>
      <c r="X51" s="6"/>
      <c r="Y51" s="8"/>
      <c r="Z51" s="8"/>
      <c r="AA51" s="8"/>
      <c r="AB51" s="8"/>
      <c r="AC51" s="6"/>
      <c r="AD51" s="6"/>
      <c r="AE51" s="6"/>
      <c r="AF51" s="6"/>
      <c r="AG51" s="6"/>
      <c r="AH51" s="6"/>
      <c r="AI51" s="6"/>
      <c r="AJ51" s="6"/>
      <c r="AK51" s="244"/>
      <c r="AL51" s="244"/>
      <c r="AM51" s="244"/>
      <c r="AN51" s="244"/>
      <c r="AO51" s="244"/>
      <c r="AP51" s="244"/>
      <c r="AQ51" s="244"/>
      <c r="AR51" s="244"/>
      <c r="AS51" s="244"/>
      <c r="AT51" s="244"/>
    </row>
    <row r="52" spans="1:46" s="9" customFormat="1" ht="24" customHeight="1" x14ac:dyDescent="0.3">
      <c r="A52" s="6" t="s">
        <v>127</v>
      </c>
      <c r="B52" s="10"/>
      <c r="C52" s="10"/>
      <c r="D52" s="10"/>
      <c r="E52" s="10"/>
      <c r="F52" s="10"/>
      <c r="G52" s="10"/>
      <c r="H52" s="10"/>
      <c r="I52" s="10"/>
      <c r="J52" s="10"/>
      <c r="K52" s="10"/>
      <c r="L52" s="10"/>
      <c r="M52" s="129"/>
      <c r="O52" s="129"/>
      <c r="P52" s="10"/>
      <c r="Q52" s="10"/>
      <c r="R52" s="10"/>
      <c r="S52" s="10"/>
      <c r="T52" s="1120" t="s">
        <v>128</v>
      </c>
      <c r="U52" s="1120"/>
      <c r="V52" s="1120"/>
      <c r="W52" s="46">
        <f>B45*Y52+B45</f>
        <v>5185015</v>
      </c>
      <c r="X52" s="46"/>
      <c r="Y52" s="626"/>
      <c r="AC52" s="507"/>
      <c r="AD52" s="46"/>
      <c r="AE52" s="46"/>
      <c r="AF52" s="46"/>
      <c r="AG52" s="46"/>
      <c r="AH52" s="46"/>
      <c r="AI52" s="46"/>
      <c r="AJ52" s="46"/>
      <c r="AK52" s="244"/>
      <c r="AL52" s="244"/>
      <c r="AM52" s="244"/>
      <c r="AN52" s="244"/>
      <c r="AO52" s="244"/>
      <c r="AP52" s="244"/>
      <c r="AQ52" s="244"/>
      <c r="AR52" s="244"/>
      <c r="AS52" s="244"/>
      <c r="AT52" s="244"/>
    </row>
    <row r="53" spans="1:46" s="9" customFormat="1" ht="16.5" x14ac:dyDescent="0.3">
      <c r="A53" s="10"/>
      <c r="B53" s="10"/>
      <c r="C53" s="10"/>
      <c r="D53" s="81"/>
      <c r="E53" s="10"/>
      <c r="F53" s="10"/>
      <c r="G53" s="10"/>
      <c r="H53" s="10"/>
      <c r="I53" s="10"/>
      <c r="J53" s="10"/>
      <c r="K53" s="10"/>
      <c r="L53" s="10"/>
      <c r="Q53" s="10"/>
      <c r="R53" s="10"/>
      <c r="S53" s="10"/>
      <c r="T53" s="10"/>
      <c r="U53" s="10"/>
      <c r="V53" s="486"/>
      <c r="W53" s="46">
        <f>-W45</f>
        <v>-5649139</v>
      </c>
      <c r="X53" s="46"/>
      <c r="AC53" s="46"/>
      <c r="AD53" s="46"/>
      <c r="AE53" s="46"/>
      <c r="AF53" s="46"/>
      <c r="AG53" s="46"/>
      <c r="AH53" s="46"/>
      <c r="AI53" s="46"/>
      <c r="AJ53" s="46"/>
      <c r="AK53" s="244"/>
      <c r="AL53" s="244"/>
      <c r="AM53" s="244"/>
      <c r="AN53" s="244"/>
      <c r="AO53" s="244"/>
      <c r="AP53" s="244"/>
      <c r="AQ53" s="244"/>
      <c r="AR53" s="244"/>
      <c r="AS53" s="244"/>
      <c r="AT53" s="244"/>
    </row>
    <row r="54" spans="1:46" s="9" customFormat="1" ht="20.100000000000001" customHeight="1" x14ac:dyDescent="0.3">
      <c r="A54" s="454"/>
      <c r="B54" s="454"/>
      <c r="C54" s="454"/>
      <c r="D54" s="454"/>
      <c r="E54" s="454"/>
      <c r="F54" s="454"/>
      <c r="G54" s="454"/>
      <c r="H54" s="454"/>
      <c r="I54" s="454"/>
      <c r="J54" s="454"/>
      <c r="K54" s="454"/>
      <c r="L54" s="454"/>
      <c r="M54" s="454"/>
      <c r="N54" s="454"/>
      <c r="O54" s="454"/>
      <c r="P54" s="454"/>
      <c r="Q54" s="454"/>
      <c r="R54" s="454"/>
      <c r="S54" s="454"/>
      <c r="T54" s="1121" t="s">
        <v>129</v>
      </c>
      <c r="U54" s="1121"/>
      <c r="V54" s="672"/>
      <c r="W54" s="306">
        <f>SUM(W52:W53)</f>
        <v>-464124</v>
      </c>
      <c r="X54" s="306"/>
      <c r="Y54" s="249"/>
      <c r="AC54" s="508"/>
      <c r="AD54" s="508"/>
      <c r="AE54" s="508"/>
      <c r="AF54" s="508"/>
      <c r="AG54" s="508"/>
      <c r="AH54" s="508"/>
      <c r="AI54" s="508"/>
      <c r="AJ54" s="508"/>
      <c r="AK54" s="244"/>
      <c r="AL54" s="244"/>
      <c r="AM54" s="244"/>
      <c r="AN54" s="244"/>
      <c r="AO54" s="244"/>
      <c r="AP54" s="244"/>
      <c r="AQ54" s="244"/>
      <c r="AR54" s="244"/>
      <c r="AS54" s="244"/>
      <c r="AT54" s="244"/>
    </row>
    <row r="55" spans="1:46" s="9" customFormat="1" ht="16.5" x14ac:dyDescent="0.3">
      <c r="A55" s="6"/>
      <c r="B55" s="10"/>
      <c r="C55" s="10"/>
      <c r="E55" s="10"/>
      <c r="F55" s="10"/>
      <c r="G55" s="10"/>
      <c r="H55" s="10"/>
      <c r="I55" s="10"/>
      <c r="J55" s="10"/>
      <c r="K55" s="10"/>
      <c r="L55" s="10"/>
      <c r="M55" s="10"/>
      <c r="N55" s="130"/>
      <c r="O55" s="130"/>
      <c r="P55" s="10"/>
      <c r="Q55" s="10"/>
      <c r="R55" s="10"/>
      <c r="S55" s="10"/>
      <c r="T55" s="10"/>
      <c r="U55" s="10"/>
      <c r="V55" s="10"/>
      <c r="W55" s="307"/>
      <c r="X55" s="307"/>
      <c r="AC55" s="307"/>
      <c r="AD55" s="307"/>
      <c r="AE55" s="307"/>
      <c r="AF55" s="307"/>
      <c r="AG55" s="307"/>
      <c r="AH55" s="307"/>
      <c r="AI55" s="307"/>
      <c r="AJ55" s="307"/>
      <c r="AK55" s="244"/>
      <c r="AL55" s="244"/>
      <c r="AM55" s="244"/>
      <c r="AN55" s="244"/>
      <c r="AO55" s="244"/>
      <c r="AP55" s="244"/>
      <c r="AQ55" s="244"/>
      <c r="AR55" s="244"/>
      <c r="AS55" s="244"/>
      <c r="AT55" s="244"/>
    </row>
    <row r="56" spans="1:46" ht="16.5" x14ac:dyDescent="0.3">
      <c r="A56" s="67"/>
      <c r="B56" s="68"/>
      <c r="C56" s="68"/>
      <c r="E56" s="22"/>
      <c r="F56" s="22"/>
      <c r="G56" s="22"/>
      <c r="H56" s="22"/>
      <c r="I56" s="22"/>
      <c r="J56" s="22"/>
      <c r="K56" s="4"/>
      <c r="L56" s="4"/>
      <c r="O56" s="6"/>
      <c r="P56" s="4"/>
      <c r="Q56" s="9"/>
      <c r="R56" s="4"/>
      <c r="S56" s="4"/>
      <c r="T56" s="1122" t="s">
        <v>130</v>
      </c>
      <c r="U56" s="1122"/>
      <c r="V56" s="1122"/>
      <c r="W56" s="46">
        <f>B45*Y52</f>
        <v>0</v>
      </c>
      <c r="X56" s="46"/>
      <c r="AC56" s="46"/>
      <c r="AD56" s="46"/>
      <c r="AE56" s="46"/>
      <c r="AF56" s="46"/>
      <c r="AG56" s="46"/>
      <c r="AH56" s="46"/>
      <c r="AI56" s="46"/>
      <c r="AJ56" s="46"/>
    </row>
    <row r="57" spans="1:46" ht="16.5" x14ac:dyDescent="0.3">
      <c r="A57" s="6"/>
      <c r="B57" s="11"/>
      <c r="C57" s="11"/>
      <c r="D57" s="11"/>
      <c r="E57" s="11"/>
      <c r="F57" s="11"/>
      <c r="G57" s="11"/>
      <c r="H57" s="11"/>
      <c r="I57" s="11"/>
      <c r="J57" s="11"/>
      <c r="K57" s="4"/>
      <c r="L57" s="4"/>
      <c r="O57" s="6"/>
      <c r="P57" s="4"/>
      <c r="Q57" s="4"/>
      <c r="R57" s="4"/>
      <c r="S57" s="4"/>
      <c r="T57" s="4"/>
      <c r="U57" s="4"/>
      <c r="V57" s="4"/>
      <c r="W57" s="308"/>
      <c r="X57" s="308"/>
      <c r="AC57" s="308"/>
      <c r="AD57" s="308"/>
      <c r="AE57" s="308"/>
      <c r="AF57" s="308"/>
      <c r="AG57" s="308"/>
      <c r="AH57" s="308"/>
      <c r="AI57" s="308"/>
      <c r="AJ57" s="308"/>
    </row>
    <row r="58" spans="1:46" ht="16.5" x14ac:dyDescent="0.3">
      <c r="A58" s="12"/>
      <c r="B58" s="11"/>
      <c r="C58" s="11"/>
      <c r="D58" s="11"/>
      <c r="E58" s="11"/>
      <c r="F58" s="11"/>
      <c r="G58" s="11"/>
      <c r="H58" s="11"/>
      <c r="I58" s="11"/>
      <c r="J58" s="11"/>
      <c r="K58" s="4"/>
      <c r="L58" s="4"/>
      <c r="O58" s="250"/>
      <c r="P58" s="4"/>
      <c r="Q58" s="4"/>
      <c r="R58" s="4"/>
      <c r="S58" s="4"/>
      <c r="T58" s="4"/>
      <c r="U58" s="4"/>
      <c r="V58" s="4"/>
      <c r="W58" s="4"/>
      <c r="X58" s="4"/>
      <c r="AC58" s="4"/>
      <c r="AD58" s="4"/>
      <c r="AE58" s="4"/>
      <c r="AF58" s="4"/>
      <c r="AG58" s="4"/>
      <c r="AH58" s="4"/>
      <c r="AI58" s="4"/>
      <c r="AJ58" s="4"/>
    </row>
    <row r="59" spans="1:46" ht="15" x14ac:dyDescent="0.2">
      <c r="A59" s="12"/>
      <c r="B59" s="11"/>
      <c r="C59" s="11"/>
      <c r="D59" s="11"/>
      <c r="E59" s="11"/>
      <c r="F59" s="11"/>
      <c r="G59" s="11"/>
      <c r="H59" s="11"/>
      <c r="I59" s="11"/>
      <c r="J59" s="11"/>
      <c r="K59" s="4"/>
      <c r="L59" s="4"/>
      <c r="O59" s="10"/>
      <c r="P59" s="10"/>
      <c r="Q59" s="10"/>
      <c r="R59" s="10"/>
      <c r="S59" s="10"/>
      <c r="T59" s="4"/>
      <c r="U59" s="4"/>
      <c r="V59" s="4"/>
      <c r="W59" s="4"/>
      <c r="X59" s="4"/>
      <c r="AC59" s="4"/>
      <c r="AD59" s="4"/>
      <c r="AE59" s="4"/>
      <c r="AF59" s="4"/>
      <c r="AG59" s="4"/>
      <c r="AH59" s="4"/>
      <c r="AI59" s="4"/>
      <c r="AJ59" s="4"/>
    </row>
    <row r="60" spans="1:46" ht="15" x14ac:dyDescent="0.2">
      <c r="A60" s="12"/>
      <c r="B60" s="11"/>
      <c r="C60" s="11"/>
      <c r="D60" s="11"/>
      <c r="E60" s="11"/>
      <c r="F60" s="11"/>
      <c r="G60" s="11"/>
      <c r="H60" s="11"/>
      <c r="I60" s="11"/>
      <c r="J60" s="11"/>
      <c r="K60" s="4"/>
      <c r="L60" s="4"/>
      <c r="M60" s="4"/>
      <c r="N60" s="4"/>
      <c r="O60" s="4"/>
      <c r="P60" s="4"/>
      <c r="Q60" s="4"/>
      <c r="R60" s="4"/>
      <c r="S60" s="4"/>
      <c r="T60" s="4"/>
      <c r="U60" s="4"/>
      <c r="V60" s="4"/>
      <c r="W60" s="4"/>
      <c r="X60" s="4"/>
      <c r="AC60" s="4"/>
      <c r="AD60" s="4"/>
      <c r="AE60" s="4"/>
      <c r="AF60" s="4"/>
      <c r="AG60" s="4"/>
      <c r="AH60" s="4"/>
      <c r="AI60" s="4"/>
      <c r="AJ60" s="4"/>
    </row>
    <row r="61" spans="1:46" ht="15" x14ac:dyDescent="0.2">
      <c r="B61" s="1"/>
      <c r="C61" s="1"/>
      <c r="D61" s="1"/>
      <c r="E61" s="1"/>
      <c r="F61" s="1"/>
      <c r="G61" s="1"/>
      <c r="H61" s="1"/>
      <c r="I61" s="1"/>
      <c r="J61" s="1"/>
      <c r="K61" s="4"/>
      <c r="L61" s="4"/>
      <c r="M61" s="4"/>
      <c r="N61" s="4"/>
      <c r="O61" s="4"/>
      <c r="P61" s="4"/>
      <c r="Q61" s="4"/>
      <c r="R61" s="4"/>
      <c r="S61" s="4"/>
      <c r="T61" s="4"/>
      <c r="U61" s="4"/>
      <c r="V61" s="4"/>
      <c r="W61" s="4"/>
      <c r="X61" s="4"/>
      <c r="AC61" s="4"/>
      <c r="AD61" s="4"/>
      <c r="AE61" s="4"/>
      <c r="AF61" s="4"/>
      <c r="AG61" s="4"/>
      <c r="AH61" s="4"/>
      <c r="AI61" s="4"/>
      <c r="AJ61" s="4"/>
    </row>
    <row r="62" spans="1:46" ht="15" x14ac:dyDescent="0.2">
      <c r="B62" s="1"/>
      <c r="C62" s="1"/>
      <c r="D62" s="1"/>
      <c r="E62" s="1"/>
      <c r="F62" s="1"/>
      <c r="G62" s="1"/>
      <c r="H62" s="1"/>
      <c r="I62" s="1"/>
      <c r="J62" s="1"/>
      <c r="K62" s="4"/>
      <c r="L62" s="4"/>
      <c r="M62" s="4"/>
      <c r="N62" s="4"/>
      <c r="O62" s="4"/>
      <c r="P62" s="4"/>
      <c r="Q62" s="4"/>
      <c r="R62" s="4"/>
      <c r="S62" s="4"/>
      <c r="T62" s="4"/>
      <c r="U62" s="4"/>
      <c r="V62" s="4"/>
      <c r="W62" s="4"/>
      <c r="X62" s="4"/>
      <c r="AC62" s="4"/>
      <c r="AD62" s="4"/>
      <c r="AE62" s="4"/>
      <c r="AF62" s="4"/>
      <c r="AG62" s="4"/>
      <c r="AH62" s="4"/>
      <c r="AI62" s="4"/>
      <c r="AJ62" s="4"/>
    </row>
    <row r="63" spans="1:46" ht="16.5" x14ac:dyDescent="0.3">
      <c r="B63" s="1"/>
      <c r="C63" s="1"/>
      <c r="D63" s="1"/>
      <c r="E63" s="1"/>
      <c r="F63" s="1"/>
      <c r="G63" s="1"/>
      <c r="H63" s="1"/>
      <c r="I63" s="1"/>
      <c r="J63" s="1"/>
      <c r="K63" s="4"/>
      <c r="L63" s="4"/>
      <c r="M63" s="4"/>
      <c r="N63" s="4"/>
      <c r="O63" s="4"/>
      <c r="P63" s="4"/>
      <c r="Q63" s="4"/>
      <c r="R63" s="4"/>
      <c r="S63" s="4"/>
      <c r="T63" s="4"/>
      <c r="U63" s="4"/>
      <c r="V63" s="4"/>
      <c r="W63" s="46"/>
      <c r="X63" s="4"/>
      <c r="AC63" s="4"/>
      <c r="AD63" s="4"/>
      <c r="AE63" s="4"/>
      <c r="AF63" s="4"/>
      <c r="AG63" s="4"/>
      <c r="AH63" s="4"/>
      <c r="AI63" s="4"/>
      <c r="AJ63" s="4"/>
    </row>
    <row r="79" spans="5:5" x14ac:dyDescent="0.2">
      <c r="E79" s="23"/>
    </row>
  </sheetData>
  <mergeCells count="26">
    <mergeCell ref="T52:V52"/>
    <mergeCell ref="T54:U54"/>
    <mergeCell ref="T56:V56"/>
    <mergeCell ref="AC8:AG8"/>
    <mergeCell ref="AK8:AO8"/>
    <mergeCell ref="AK9:AL9"/>
    <mergeCell ref="G10:H10"/>
    <mergeCell ref="Y10:Z11"/>
    <mergeCell ref="AK10:AL11"/>
    <mergeCell ref="AN10:AO11"/>
    <mergeCell ref="AK6:AL6"/>
    <mergeCell ref="E7:J7"/>
    <mergeCell ref="K7:N7"/>
    <mergeCell ref="P7:V7"/>
    <mergeCell ref="AC7:AH7"/>
    <mergeCell ref="B8:C8"/>
    <mergeCell ref="E8:I8"/>
    <mergeCell ref="K8:M8"/>
    <mergeCell ref="P8:U8"/>
    <mergeCell ref="Y8:Z8"/>
    <mergeCell ref="A1:AI1"/>
    <mergeCell ref="A2:AI2"/>
    <mergeCell ref="A3:AI3"/>
    <mergeCell ref="A4:AI4"/>
    <mergeCell ref="C6:C7"/>
    <mergeCell ref="E6:N6"/>
  </mergeCells>
  <printOptions horizontalCentered="1" verticalCentered="1" headings="1"/>
  <pageMargins left="0.25" right="0.25" top="0.75" bottom="0.75" header="0.3" footer="0.3"/>
  <pageSetup paperSize="5" scale="46" orientation="landscape" r:id="rId1"/>
  <headerFooter scaleWithDoc="0">
    <oddHeader>&amp;C&amp;"Times New Roman,Bold"&amp;12                                                                            &amp;11        &amp;12                                                                            &amp;R&amp;"Times New Roman,Regular"&amp;12Deliverable #4a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Notes</vt:lpstr>
      <vt:lpstr>BaseEstimates</vt:lpstr>
      <vt:lpstr>1)+36.0% Level Worksheet </vt:lpstr>
      <vt:lpstr>Hot Topics</vt:lpstr>
      <vt:lpstr>2) Worksheet Guidance</vt:lpstr>
      <vt:lpstr>3)Budget Line Descriptions</vt:lpstr>
      <vt:lpstr>4)EXAMPLE</vt:lpstr>
      <vt:lpstr>+XX.0% Level rev 4.12.17 </vt:lpstr>
      <vt:lpstr>Sheet1</vt:lpstr>
      <vt:lpstr>+XX.0% Level rev 4.4.2017</vt:lpstr>
      <vt:lpstr>+33.0% Level rev 3.8.2017</vt:lpstr>
      <vt:lpstr>+33.0% Level</vt:lpstr>
      <vt:lpstr>BaseEstimate</vt:lpstr>
      <vt:lpstr>'+33.0% Level'!Print_Area</vt:lpstr>
      <vt:lpstr>'+33.0% Level rev 3.8.2017'!Print_Area</vt:lpstr>
      <vt:lpstr>'+XX.0% Level rev 4.12.17 '!Print_Area</vt:lpstr>
      <vt:lpstr>'+XX.0% Level rev 4.4.2017'!Print_Area</vt:lpstr>
      <vt:lpstr>'1)+36.0% Level Worksheet '!Print_Area</vt:lpstr>
      <vt:lpstr>'4)EXAMPLE'!Print_Area</vt:lpstr>
      <vt:lpstr>BaseEstimate!Print_Area</vt:lpstr>
      <vt:lpstr>'1)+36.0% Level Worksheet '!Print_Titles</vt:lpstr>
    </vt:vector>
  </TitlesOfParts>
  <Company>INDIAN HEALTH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Christina R (IHS/HQ)</dc:creator>
  <cp:lastModifiedBy>ITCARemote</cp:lastModifiedBy>
  <cp:lastPrinted>2018-01-03T19:23:05Z</cp:lastPrinted>
  <dcterms:created xsi:type="dcterms:W3CDTF">1998-08-07T17:22:13Z</dcterms:created>
  <dcterms:modified xsi:type="dcterms:W3CDTF">2018-01-09T12:26:18Z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